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331" sheetId="12" r:id="rId8"/>
    <sheet name="331-CT" sheetId="14" r:id="rId9"/>
    <sheet name="IN - TC" sheetId="39" r:id="rId10"/>
    <sheet name="1111" sheetId="42" r:id="rId11"/>
    <sheet name="1121" sheetId="43" r:id="rId12"/>
    <sheet name="1331" sheetId="44" r:id="rId13"/>
    <sheet name="3411" sheetId="45" r:id="rId14"/>
    <sheet name="3411-CT" sheetId="46" r:id="rId15"/>
  </sheets>
  <externalReferences>
    <externalReference r:id="rId16"/>
    <externalReference r:id="rId17"/>
  </externalReferences>
  <definedNames>
    <definedName name="_C111">TH!$O$11:$O$356</definedName>
    <definedName name="_C112">TH!$R$11:$R$356</definedName>
    <definedName name="_C133">TH!$U$11:$U$356</definedName>
    <definedName name="_Fill" localSheetId="11" hidden="1">#REF!</definedName>
    <definedName name="_Fill" localSheetId="6" hidden="1">#REF!</definedName>
    <definedName name="_Fill" hidden="1">#REF!</definedName>
    <definedName name="_xlnm._FilterDatabase" localSheetId="2" hidden="1">'01-03'!$A$9:$AW$66</definedName>
    <definedName name="_xlnm._FilterDatabase" localSheetId="3" hidden="1">'04-06'!$A$9:$AW$47</definedName>
    <definedName name="_xlnm._FilterDatabase" localSheetId="4" hidden="1">'07-09'!$A$9:$AW$85</definedName>
    <definedName name="_xlnm._FilterDatabase" localSheetId="5" hidden="1">'10-12'!$A$9:$AW$81</definedName>
    <definedName name="_xlnm._FilterDatabase" localSheetId="10" hidden="1">'1111'!$A$11:$J$28</definedName>
    <definedName name="_xlnm._FilterDatabase" localSheetId="11" hidden="1">'1121'!$A$10:$L$74</definedName>
    <definedName name="_xlnm._FilterDatabase" localSheetId="8" hidden="1">'331-CT'!$A$12:$J$25</definedName>
    <definedName name="_xlnm._FilterDatabase" localSheetId="6" hidden="1">CTTK!$A$13:$J$15</definedName>
    <definedName name="_xlnm._FilterDatabase" localSheetId="1" hidden="1">TH!$A$9:$P$234</definedName>
    <definedName name="_N111">TH!$N$11:$N$356</definedName>
    <definedName name="_N112">TH!$Q$11:$Q$356</definedName>
    <definedName name="_N133">TH!$T$11:$T$356</definedName>
    <definedName name="_TM1">IF('IN - TC'!$S$4=1,1,IF('IN - TC'!$S$4=2,4,IF('IN - TC'!$S$4=3,7,10)))</definedName>
    <definedName name="_TM2">IF('IN - TC'!$S$4=1,3,IF('IN - TC'!$S$4=2,6,IF('IN - TC'!$S$4=3,9,12)))</definedName>
    <definedName name="Dong">IF([0]!Loai="x",ROW([0]!Loai)-1,"")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'331'!$B$4:$B$15</definedName>
    <definedName name="DSKU">'3411'!$B$4:$B$9</definedName>
    <definedName name="DSTK">CDPS!$A$10:$D$40</definedName>
    <definedName name="DSTT">'[1]TH - TT'!$K$7:$K$226</definedName>
    <definedName name="DSTT1">'[1]TH - TT'!$I$7:$I$227</definedName>
    <definedName name="hgdgdgf">TH!$K$11:$K$356</definedName>
    <definedName name="KH">TH!$H$11:$H$356</definedName>
    <definedName name="KHC">TH!$K$11:$K$356</definedName>
    <definedName name="KHN">TH!$J$11:$J$356</definedName>
    <definedName name="Loai">OFFSET(TH!$L$5,,,COUNTA(TH!$L$5:$L$38666))</definedName>
    <definedName name="Loai1">OFFSET(TH!$M$5,,,COUNTA(TH!$M$5:$M$38666))</definedName>
    <definedName name="Loai2">OFFSET(TH!$P$5,,,COUNTA(TH!$P$5:$P$38666))</definedName>
    <definedName name="Loai3">OFFSET(TH!$S$5,,,COUNTA(TH!$S$5:$S$38666))</definedName>
    <definedName name="Loai4">OFFSET(TH!$V$5,,,COUNTA(TH!$V$5:$V$38666))</definedName>
    <definedName name="Loai5">OFFSET(TH!$W$5,,,COUNTA(TH!$W$5:$W$38666))</definedName>
    <definedName name="Loai6">OFFSET(TH!$X$5,,,COUNTA(TH!$X$5:$X$38666))</definedName>
    <definedName name="_xlnm.Print_Area" localSheetId="5">'10-12'!$A$6:$AW$86</definedName>
    <definedName name="_xlnm.Print_Area" localSheetId="10">'1111'!$A$1:$J$38</definedName>
    <definedName name="_xlnm.Print_Area" localSheetId="11">'1121'!$A$8:$J$34</definedName>
    <definedName name="_xlnm.Print_Area" localSheetId="13">'3411'!$A$1:$J$8</definedName>
    <definedName name="_xlnm.Print_Area" localSheetId="9">'IN - TC'!$B$1:$O$27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10">'1111'!$9:$11</definedName>
    <definedName name="TH">TH!$I$11:$I$356</definedName>
    <definedName name="THN">#REF!</definedName>
    <definedName name="TM">TH!$A$11:$K$356</definedName>
  </definedNames>
  <calcPr calcId="124519"/>
</workbook>
</file>

<file path=xl/calcChain.xml><?xml version="1.0" encoding="utf-8"?>
<calcChain xmlns="http://schemas.openxmlformats.org/spreadsheetml/2006/main">
  <c r="A6" i="44"/>
  <c r="I75" i="43"/>
  <c r="I32" i="42"/>
  <c r="AV90" i="50"/>
  <c r="AV52" i="49"/>
  <c r="AV71" i="48"/>
  <c r="B219" i="34"/>
  <c r="A219" s="1"/>
  <c r="L219"/>
  <c r="V219"/>
  <c r="B220"/>
  <c r="A220" s="1"/>
  <c r="L220"/>
  <c r="V220"/>
  <c r="B221"/>
  <c r="A221" s="1"/>
  <c r="L221"/>
  <c r="V221"/>
  <c r="B222"/>
  <c r="A222" s="1"/>
  <c r="L222"/>
  <c r="V222"/>
  <c r="B223"/>
  <c r="A223" s="1"/>
  <c r="L223"/>
  <c r="V223"/>
  <c r="B224"/>
  <c r="A224" s="1"/>
  <c r="L224"/>
  <c r="V224"/>
  <c r="B225"/>
  <c r="A225" s="1"/>
  <c r="L225"/>
  <c r="V225"/>
  <c r="B226"/>
  <c r="A226" s="1"/>
  <c r="L226"/>
  <c r="V226"/>
  <c r="B227"/>
  <c r="A227" s="1"/>
  <c r="L227"/>
  <c r="V227"/>
  <c r="B228"/>
  <c r="A228" s="1"/>
  <c r="L228"/>
  <c r="V228"/>
  <c r="B229"/>
  <c r="A229" s="1"/>
  <c r="L229"/>
  <c r="V229"/>
  <c r="B230"/>
  <c r="A230" s="1"/>
  <c r="L230"/>
  <c r="V230"/>
  <c r="B231"/>
  <c r="A231" s="1"/>
  <c r="L231"/>
  <c r="V231"/>
  <c r="B232"/>
  <c r="A232" s="1"/>
  <c r="L232"/>
  <c r="V232"/>
  <c r="B233"/>
  <c r="A233" s="1"/>
  <c r="L233"/>
  <c r="V233"/>
  <c r="B234"/>
  <c r="A234" s="1"/>
  <c r="L234"/>
  <c r="V234"/>
  <c r="L211"/>
  <c r="V211"/>
  <c r="L212"/>
  <c r="V212"/>
  <c r="L213"/>
  <c r="V213"/>
  <c r="L214"/>
  <c r="V214"/>
  <c r="L215"/>
  <c r="V215"/>
  <c r="L216"/>
  <c r="V216"/>
  <c r="L217"/>
  <c r="V217"/>
  <c r="L218"/>
  <c r="V218"/>
  <c r="M9" i="39"/>
  <c r="X231" i="34" l="1"/>
  <c r="X227"/>
  <c r="X223"/>
  <c r="X233"/>
  <c r="X229"/>
  <c r="X225"/>
  <c r="X221"/>
  <c r="X220"/>
  <c r="X219"/>
  <c r="X234"/>
  <c r="X232"/>
  <c r="X230"/>
  <c r="X228"/>
  <c r="X226"/>
  <c r="X224"/>
  <c r="X222"/>
  <c r="B215"/>
  <c r="B216"/>
  <c r="B217"/>
  <c r="B218"/>
  <c r="X217" l="1"/>
  <c r="A217"/>
  <c r="X215"/>
  <c r="A215"/>
  <c r="A218"/>
  <c r="X218"/>
  <c r="A216"/>
  <c r="X216"/>
  <c r="D16" i="12"/>
  <c r="C16"/>
  <c r="L12" i="34" l="1"/>
  <c r="V12"/>
  <c r="L13"/>
  <c r="V13"/>
  <c r="L14"/>
  <c r="V14"/>
  <c r="L15"/>
  <c r="V15"/>
  <c r="L16"/>
  <c r="V16"/>
  <c r="L17"/>
  <c r="V17"/>
  <c r="L18"/>
  <c r="V18"/>
  <c r="L19"/>
  <c r="V19"/>
  <c r="L20"/>
  <c r="V20"/>
  <c r="L21"/>
  <c r="V21"/>
  <c r="L22"/>
  <c r="V22"/>
  <c r="L23"/>
  <c r="V23"/>
  <c r="L24"/>
  <c r="V24"/>
  <c r="L25"/>
  <c r="V25"/>
  <c r="L26"/>
  <c r="V26"/>
  <c r="L27"/>
  <c r="V27"/>
  <c r="L28"/>
  <c r="V28"/>
  <c r="L29"/>
  <c r="V29"/>
  <c r="L30"/>
  <c r="V30"/>
  <c r="L31"/>
  <c r="V31"/>
  <c r="L32"/>
  <c r="V32"/>
  <c r="L33"/>
  <c r="V33"/>
  <c r="L34"/>
  <c r="V34"/>
  <c r="L35"/>
  <c r="V35"/>
  <c r="L36"/>
  <c r="V36"/>
  <c r="L37"/>
  <c r="V37"/>
  <c r="L38"/>
  <c r="V38"/>
  <c r="L39"/>
  <c r="V39"/>
  <c r="L40"/>
  <c r="V40"/>
  <c r="L41"/>
  <c r="V41"/>
  <c r="L42"/>
  <c r="V42"/>
  <c r="L43"/>
  <c r="V43"/>
  <c r="L44"/>
  <c r="V44"/>
  <c r="L45"/>
  <c r="V45"/>
  <c r="L46"/>
  <c r="V46"/>
  <c r="L47"/>
  <c r="V47"/>
  <c r="L48"/>
  <c r="V48"/>
  <c r="L49"/>
  <c r="V49"/>
  <c r="L50"/>
  <c r="V50"/>
  <c r="L51"/>
  <c r="V51"/>
  <c r="L52"/>
  <c r="V52"/>
  <c r="L53"/>
  <c r="V53"/>
  <c r="L54"/>
  <c r="V54"/>
  <c r="L55"/>
  <c r="V55"/>
  <c r="L56"/>
  <c r="V56"/>
  <c r="L57"/>
  <c r="V57"/>
  <c r="L58"/>
  <c r="V58"/>
  <c r="L59"/>
  <c r="V59"/>
  <c r="L60"/>
  <c r="V60"/>
  <c r="L61"/>
  <c r="V61"/>
  <c r="L62"/>
  <c r="V62"/>
  <c r="L63"/>
  <c r="V63"/>
  <c r="L64"/>
  <c r="V64"/>
  <c r="L65"/>
  <c r="V65"/>
  <c r="L66"/>
  <c r="V66"/>
  <c r="L67"/>
  <c r="V67"/>
  <c r="L68"/>
  <c r="V68"/>
  <c r="L69"/>
  <c r="V69"/>
  <c r="L70"/>
  <c r="V70"/>
  <c r="L71"/>
  <c r="V71"/>
  <c r="L72"/>
  <c r="V72"/>
  <c r="L73"/>
  <c r="V73"/>
  <c r="L74"/>
  <c r="V74"/>
  <c r="L75"/>
  <c r="V75"/>
  <c r="L76"/>
  <c r="V76"/>
  <c r="L77"/>
  <c r="V77"/>
  <c r="L78"/>
  <c r="V78"/>
  <c r="L79"/>
  <c r="V79"/>
  <c r="L80"/>
  <c r="V80"/>
  <c r="L81"/>
  <c r="V81"/>
  <c r="L82"/>
  <c r="V82"/>
  <c r="L83"/>
  <c r="V83"/>
  <c r="L84"/>
  <c r="V84"/>
  <c r="L85"/>
  <c r="V85"/>
  <c r="L86"/>
  <c r="V86"/>
  <c r="L87"/>
  <c r="V87"/>
  <c r="L88"/>
  <c r="V88"/>
  <c r="L89"/>
  <c r="V89"/>
  <c r="L90"/>
  <c r="V90"/>
  <c r="L91"/>
  <c r="V91"/>
  <c r="L92"/>
  <c r="V92"/>
  <c r="L93"/>
  <c r="V93"/>
  <c r="L94"/>
  <c r="V94"/>
  <c r="L95"/>
  <c r="V95"/>
  <c r="L96"/>
  <c r="V96"/>
  <c r="L97"/>
  <c r="V97"/>
  <c r="L98"/>
  <c r="V98"/>
  <c r="L99"/>
  <c r="V99"/>
  <c r="L100"/>
  <c r="V100"/>
  <c r="L101"/>
  <c r="V101"/>
  <c r="L102"/>
  <c r="V102"/>
  <c r="L103"/>
  <c r="V103"/>
  <c r="L104"/>
  <c r="V104"/>
  <c r="L105"/>
  <c r="V105"/>
  <c r="L106"/>
  <c r="V106"/>
  <c r="L107"/>
  <c r="V107"/>
  <c r="L108"/>
  <c r="V108"/>
  <c r="L109"/>
  <c r="V109"/>
  <c r="L110"/>
  <c r="V110"/>
  <c r="L111"/>
  <c r="V111"/>
  <c r="L112"/>
  <c r="V112"/>
  <c r="L113"/>
  <c r="V113"/>
  <c r="L114"/>
  <c r="V114"/>
  <c r="L115"/>
  <c r="V115"/>
  <c r="L116"/>
  <c r="V116"/>
  <c r="L117"/>
  <c r="V117"/>
  <c r="L118"/>
  <c r="V118"/>
  <c r="L119"/>
  <c r="V119"/>
  <c r="L120"/>
  <c r="V120"/>
  <c r="L121"/>
  <c r="V121"/>
  <c r="L122"/>
  <c r="V122"/>
  <c r="L123"/>
  <c r="V123"/>
  <c r="L124"/>
  <c r="V124"/>
  <c r="L125"/>
  <c r="V125"/>
  <c r="L126"/>
  <c r="V126"/>
  <c r="L127"/>
  <c r="V127"/>
  <c r="L128"/>
  <c r="V128"/>
  <c r="L129"/>
  <c r="V129"/>
  <c r="L130"/>
  <c r="V130"/>
  <c r="L131"/>
  <c r="V131"/>
  <c r="L132"/>
  <c r="V132"/>
  <c r="L133"/>
  <c r="V133"/>
  <c r="L134"/>
  <c r="V134"/>
  <c r="L135"/>
  <c r="V135"/>
  <c r="L136"/>
  <c r="V136"/>
  <c r="L137"/>
  <c r="V137"/>
  <c r="L138"/>
  <c r="V138"/>
  <c r="L139"/>
  <c r="V139"/>
  <c r="L140"/>
  <c r="V140"/>
  <c r="L141"/>
  <c r="V141"/>
  <c r="L142"/>
  <c r="V142"/>
  <c r="L143"/>
  <c r="V143"/>
  <c r="L144"/>
  <c r="V144"/>
  <c r="L145"/>
  <c r="V145"/>
  <c r="L146"/>
  <c r="V146"/>
  <c r="L147"/>
  <c r="V147"/>
  <c r="L148"/>
  <c r="V148"/>
  <c r="L149"/>
  <c r="V149"/>
  <c r="L150"/>
  <c r="V150"/>
  <c r="L151"/>
  <c r="V151"/>
  <c r="L152"/>
  <c r="V152"/>
  <c r="L153"/>
  <c r="V153"/>
  <c r="L154"/>
  <c r="V154"/>
  <c r="L155"/>
  <c r="V155"/>
  <c r="L156"/>
  <c r="V156"/>
  <c r="L157"/>
  <c r="V157"/>
  <c r="L158"/>
  <c r="V158"/>
  <c r="L159"/>
  <c r="V159"/>
  <c r="L160"/>
  <c r="V160"/>
  <c r="L161"/>
  <c r="V161"/>
  <c r="L162"/>
  <c r="V162"/>
  <c r="L163"/>
  <c r="V163"/>
  <c r="L164"/>
  <c r="V164"/>
  <c r="L165"/>
  <c r="V165"/>
  <c r="L166"/>
  <c r="V166"/>
  <c r="L167"/>
  <c r="V167"/>
  <c r="L168"/>
  <c r="V168"/>
  <c r="L169"/>
  <c r="V169"/>
  <c r="L170"/>
  <c r="V170"/>
  <c r="L171"/>
  <c r="V171"/>
  <c r="L172"/>
  <c r="V172"/>
  <c r="L173"/>
  <c r="V173"/>
  <c r="L174"/>
  <c r="V174"/>
  <c r="L175"/>
  <c r="V175"/>
  <c r="L176"/>
  <c r="V176"/>
  <c r="L177"/>
  <c r="V177"/>
  <c r="L178"/>
  <c r="V178"/>
  <c r="L179"/>
  <c r="V179"/>
  <c r="L180"/>
  <c r="V180"/>
  <c r="L181"/>
  <c r="V181"/>
  <c r="L182"/>
  <c r="V182"/>
  <c r="L183"/>
  <c r="V183"/>
  <c r="L184"/>
  <c r="V184"/>
  <c r="L185"/>
  <c r="V185"/>
  <c r="L186"/>
  <c r="V186"/>
  <c r="L187"/>
  <c r="V187"/>
  <c r="L188"/>
  <c r="V188"/>
  <c r="L189"/>
  <c r="V189"/>
  <c r="L190"/>
  <c r="V190"/>
  <c r="L191"/>
  <c r="V191"/>
  <c r="L192"/>
  <c r="V192"/>
  <c r="L193"/>
  <c r="V193"/>
  <c r="L194"/>
  <c r="V194"/>
  <c r="L195"/>
  <c r="V195"/>
  <c r="L196"/>
  <c r="V196"/>
  <c r="L197"/>
  <c r="V197"/>
  <c r="L198"/>
  <c r="V198"/>
  <c r="L199"/>
  <c r="V199"/>
  <c r="L200"/>
  <c r="V200"/>
  <c r="L201"/>
  <c r="V201"/>
  <c r="L202"/>
  <c r="V202"/>
  <c r="L203"/>
  <c r="V203"/>
  <c r="L204"/>
  <c r="V204"/>
  <c r="L205"/>
  <c r="V205"/>
  <c r="L206"/>
  <c r="V206"/>
  <c r="L207"/>
  <c r="V207"/>
  <c r="L208"/>
  <c r="V208"/>
  <c r="L209"/>
  <c r="V209"/>
  <c r="L210"/>
  <c r="V210"/>
  <c r="A63" i="48" l="1" a="1"/>
  <c r="A63" s="1"/>
  <c r="I63" s="1"/>
  <c r="A64" a="1"/>
  <c r="A64" s="1"/>
  <c r="I16" i="34"/>
  <c r="B16"/>
  <c r="A16" s="1"/>
  <c r="AK10" i="48"/>
  <c r="AJ10"/>
  <c r="AI10"/>
  <c r="AH10"/>
  <c r="F56" s="1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AW78" i="51"/>
  <c r="AV78"/>
  <c r="AU78"/>
  <c r="AT78"/>
  <c r="AS78"/>
  <c r="AR78"/>
  <c r="AQ78"/>
  <c r="AP78"/>
  <c r="AO78"/>
  <c r="AN78"/>
  <c r="AM78"/>
  <c r="AL78"/>
  <c r="AK78"/>
  <c r="AJ78"/>
  <c r="AI78"/>
  <c r="AH78"/>
  <c r="AG78"/>
  <c r="AF78"/>
  <c r="AE78"/>
  <c r="AD78"/>
  <c r="AC78"/>
  <c r="AB78"/>
  <c r="AA78"/>
  <c r="Z78"/>
  <c r="Y78"/>
  <c r="X78"/>
  <c r="W78"/>
  <c r="V78"/>
  <c r="U78"/>
  <c r="T78"/>
  <c r="S78"/>
  <c r="R78"/>
  <c r="Q78"/>
  <c r="P78"/>
  <c r="O78"/>
  <c r="N78"/>
  <c r="M78"/>
  <c r="L78"/>
  <c r="K78"/>
  <c r="J78"/>
  <c r="A78" a="1"/>
  <c r="A78" s="1"/>
  <c r="I78" s="1"/>
  <c r="AW77"/>
  <c r="AU77"/>
  <c r="AT77"/>
  <c r="AR77"/>
  <c r="AQ77"/>
  <c r="AP77"/>
  <c r="AO77"/>
  <c r="AN77"/>
  <c r="AM77"/>
  <c r="AL77"/>
  <c r="AK77"/>
  <c r="AJ77"/>
  <c r="AI77"/>
  <c r="AH77"/>
  <c r="AG77"/>
  <c r="AF77"/>
  <c r="AE77"/>
  <c r="AD77"/>
  <c r="AC77"/>
  <c r="AB77"/>
  <c r="AA77"/>
  <c r="Z77"/>
  <c r="Y77"/>
  <c r="X77"/>
  <c r="W77"/>
  <c r="V77"/>
  <c r="U77"/>
  <c r="T77"/>
  <c r="S77"/>
  <c r="R77"/>
  <c r="Q77"/>
  <c r="P77"/>
  <c r="O77"/>
  <c r="N77"/>
  <c r="M77"/>
  <c r="L77"/>
  <c r="K77"/>
  <c r="J77"/>
  <c r="D77"/>
  <c r="AV76"/>
  <c r="AU76"/>
  <c r="AT76"/>
  <c r="AS76"/>
  <c r="AR76"/>
  <c r="AQ76"/>
  <c r="AO76"/>
  <c r="AN76"/>
  <c r="AM76"/>
  <c r="AL76"/>
  <c r="AK76"/>
  <c r="AJ76"/>
  <c r="AI76"/>
  <c r="AH76"/>
  <c r="AG76"/>
  <c r="AF76"/>
  <c r="AE76"/>
  <c r="AD76"/>
  <c r="AC76"/>
  <c r="AB76"/>
  <c r="AA76"/>
  <c r="Z76"/>
  <c r="Y76"/>
  <c r="X76"/>
  <c r="W76"/>
  <c r="V76"/>
  <c r="U76"/>
  <c r="T76"/>
  <c r="S76"/>
  <c r="R76"/>
  <c r="Q76"/>
  <c r="P76"/>
  <c r="O76"/>
  <c r="N76"/>
  <c r="M76"/>
  <c r="L76"/>
  <c r="K76"/>
  <c r="J76"/>
  <c r="D76"/>
  <c r="AV75"/>
  <c r="AU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Y75"/>
  <c r="X75"/>
  <c r="W75"/>
  <c r="V75"/>
  <c r="U75"/>
  <c r="T75"/>
  <c r="S75"/>
  <c r="R75"/>
  <c r="Q75"/>
  <c r="P75"/>
  <c r="O75"/>
  <c r="N75"/>
  <c r="M75"/>
  <c r="L75"/>
  <c r="K75"/>
  <c r="J75"/>
  <c r="D75"/>
  <c r="AW74"/>
  <c r="AV74"/>
  <c r="AU74"/>
  <c r="AT74"/>
  <c r="AS74"/>
  <c r="AR74"/>
  <c r="AQ74"/>
  <c r="AP74"/>
  <c r="AO74"/>
  <c r="AN74"/>
  <c r="AM74"/>
  <c r="AL74"/>
  <c r="AK74"/>
  <c r="AJ74"/>
  <c r="AI74"/>
  <c r="AH74"/>
  <c r="AG74"/>
  <c r="AF74"/>
  <c r="AE74"/>
  <c r="AD74"/>
  <c r="AC74"/>
  <c r="AB74"/>
  <c r="AA74"/>
  <c r="Z74"/>
  <c r="Y74"/>
  <c r="X74"/>
  <c r="W74"/>
  <c r="V74"/>
  <c r="U74"/>
  <c r="T74"/>
  <c r="S74"/>
  <c r="R74"/>
  <c r="Q74"/>
  <c r="P74"/>
  <c r="O74"/>
  <c r="N74"/>
  <c r="M74"/>
  <c r="L74"/>
  <c r="K74"/>
  <c r="J74"/>
  <c r="D74"/>
  <c r="AW73"/>
  <c r="AU73"/>
  <c r="AT73"/>
  <c r="AS73"/>
  <c r="AR73"/>
  <c r="AQ73"/>
  <c r="AP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D73"/>
  <c r="AW72"/>
  <c r="AU72"/>
  <c r="AT72"/>
  <c r="AS72"/>
  <c r="AR72"/>
  <c r="AQ72"/>
  <c r="AP72"/>
  <c r="AO72"/>
  <c r="AN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U72"/>
  <c r="T72"/>
  <c r="S72"/>
  <c r="Q72"/>
  <c r="P72"/>
  <c r="O72"/>
  <c r="N72"/>
  <c r="M72"/>
  <c r="L72"/>
  <c r="K72"/>
  <c r="J72"/>
  <c r="D72"/>
  <c r="A10" a="1"/>
  <c r="A10" s="1"/>
  <c r="AW82" i="50"/>
  <c r="AV82"/>
  <c r="AU82"/>
  <c r="AT82"/>
  <c r="AS82"/>
  <c r="AR82"/>
  <c r="AQ82"/>
  <c r="AP82"/>
  <c r="AO82"/>
  <c r="AN82"/>
  <c r="AM82"/>
  <c r="AL82"/>
  <c r="AK82"/>
  <c r="AJ82"/>
  <c r="AI82"/>
  <c r="AH82"/>
  <c r="AG82"/>
  <c r="AF82"/>
  <c r="AE82"/>
  <c r="AD82"/>
  <c r="AC82"/>
  <c r="AB82"/>
  <c r="AA82"/>
  <c r="Z82"/>
  <c r="Y82"/>
  <c r="X82"/>
  <c r="W82"/>
  <c r="V82"/>
  <c r="U82"/>
  <c r="T82"/>
  <c r="S82"/>
  <c r="R82"/>
  <c r="Q82"/>
  <c r="P82"/>
  <c r="O82"/>
  <c r="N82"/>
  <c r="M82"/>
  <c r="L82"/>
  <c r="K82"/>
  <c r="J82"/>
  <c r="A82" a="1"/>
  <c r="A82" s="1"/>
  <c r="I82" s="1"/>
  <c r="AW81"/>
  <c r="AU81"/>
  <c r="AT81"/>
  <c r="AR81"/>
  <c r="AQ81"/>
  <c r="AP81"/>
  <c r="AO81"/>
  <c r="AN81"/>
  <c r="AM81"/>
  <c r="AL81"/>
  <c r="AK81"/>
  <c r="AJ81"/>
  <c r="AI81"/>
  <c r="AH81"/>
  <c r="AG81"/>
  <c r="AF81"/>
  <c r="AE81"/>
  <c r="AD81"/>
  <c r="AC81"/>
  <c r="AB81"/>
  <c r="AA81"/>
  <c r="Z81"/>
  <c r="Y81"/>
  <c r="X81"/>
  <c r="W81"/>
  <c r="V81"/>
  <c r="U81"/>
  <c r="T81"/>
  <c r="S81"/>
  <c r="R81"/>
  <c r="Q81"/>
  <c r="P81"/>
  <c r="O81"/>
  <c r="N81"/>
  <c r="M81"/>
  <c r="L81"/>
  <c r="K81"/>
  <c r="J81"/>
  <c r="D81"/>
  <c r="AV80"/>
  <c r="AU80"/>
  <c r="AT80"/>
  <c r="AS80"/>
  <c r="AR80"/>
  <c r="AQ80"/>
  <c r="AO80"/>
  <c r="AN80"/>
  <c r="AM80"/>
  <c r="AL80"/>
  <c r="AK80"/>
  <c r="AJ80"/>
  <c r="AI80"/>
  <c r="AH80"/>
  <c r="AG80"/>
  <c r="AF80"/>
  <c r="AE80"/>
  <c r="AD80"/>
  <c r="AC80"/>
  <c r="AB80"/>
  <c r="AA80"/>
  <c r="Z80"/>
  <c r="Y80"/>
  <c r="X80"/>
  <c r="W80"/>
  <c r="V80"/>
  <c r="U80"/>
  <c r="T80"/>
  <c r="S80"/>
  <c r="R80"/>
  <c r="Q80"/>
  <c r="P80"/>
  <c r="O80"/>
  <c r="N80"/>
  <c r="M80"/>
  <c r="L80"/>
  <c r="K80"/>
  <c r="J80"/>
  <c r="D80"/>
  <c r="AV79"/>
  <c r="AU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Y79"/>
  <c r="X79"/>
  <c r="W79"/>
  <c r="V79"/>
  <c r="U79"/>
  <c r="T79"/>
  <c r="S79"/>
  <c r="R79"/>
  <c r="Q79"/>
  <c r="P79"/>
  <c r="O79"/>
  <c r="N79"/>
  <c r="M79"/>
  <c r="L79"/>
  <c r="K79"/>
  <c r="J79"/>
  <c r="D79"/>
  <c r="AV78"/>
  <c r="AU78"/>
  <c r="AT78"/>
  <c r="AS78"/>
  <c r="AR78"/>
  <c r="AQ78"/>
  <c r="AP78"/>
  <c r="AO78"/>
  <c r="AN78"/>
  <c r="AM78"/>
  <c r="AL78"/>
  <c r="AK78"/>
  <c r="AJ78"/>
  <c r="AI78"/>
  <c r="AG78"/>
  <c r="AF78"/>
  <c r="AE78"/>
  <c r="AD78"/>
  <c r="AC78"/>
  <c r="AB78"/>
  <c r="AA78"/>
  <c r="Z78"/>
  <c r="Y78"/>
  <c r="X78"/>
  <c r="W78"/>
  <c r="V78"/>
  <c r="U78"/>
  <c r="T78"/>
  <c r="S78"/>
  <c r="R78"/>
  <c r="Q78"/>
  <c r="P78"/>
  <c r="O78"/>
  <c r="N78"/>
  <c r="M78"/>
  <c r="L78"/>
  <c r="K78"/>
  <c r="J78"/>
  <c r="D78"/>
  <c r="AW77"/>
  <c r="AU77"/>
  <c r="AT77"/>
  <c r="AS77"/>
  <c r="AR77"/>
  <c r="AQ77"/>
  <c r="AP77"/>
  <c r="AN77"/>
  <c r="AM77"/>
  <c r="AL77"/>
  <c r="AK77"/>
  <c r="AJ77"/>
  <c r="AI77"/>
  <c r="AH77"/>
  <c r="AG77"/>
  <c r="AF77"/>
  <c r="AE77"/>
  <c r="AD77"/>
  <c r="AC77"/>
  <c r="AB77"/>
  <c r="AA77"/>
  <c r="Z77"/>
  <c r="Y77"/>
  <c r="X77"/>
  <c r="W77"/>
  <c r="V77"/>
  <c r="U77"/>
  <c r="T77"/>
  <c r="S77"/>
  <c r="R77"/>
  <c r="Q77"/>
  <c r="P77"/>
  <c r="O77"/>
  <c r="N77"/>
  <c r="M77"/>
  <c r="L77"/>
  <c r="K77"/>
  <c r="J77"/>
  <c r="D77"/>
  <c r="AW76"/>
  <c r="AU76"/>
  <c r="AT76"/>
  <c r="AS76"/>
  <c r="AR76"/>
  <c r="AQ76"/>
  <c r="AP76"/>
  <c r="AO76"/>
  <c r="AN76"/>
  <c r="AL76"/>
  <c r="AK76"/>
  <c r="AJ76"/>
  <c r="AI76"/>
  <c r="AH76"/>
  <c r="AG76"/>
  <c r="AF76"/>
  <c r="AE76"/>
  <c r="AD76"/>
  <c r="AC76"/>
  <c r="AB76"/>
  <c r="AA76"/>
  <c r="Z76"/>
  <c r="Y76"/>
  <c r="X76"/>
  <c r="W76"/>
  <c r="V76"/>
  <c r="U76"/>
  <c r="T76"/>
  <c r="S76"/>
  <c r="Q76"/>
  <c r="P76"/>
  <c r="O76"/>
  <c r="N76"/>
  <c r="M76"/>
  <c r="L76"/>
  <c r="K76"/>
  <c r="J76"/>
  <c r="D76"/>
  <c r="A10" a="1"/>
  <c r="A10" s="1"/>
  <c r="AW44" i="49"/>
  <c r="AV44"/>
  <c r="AU44"/>
  <c r="AT44"/>
  <c r="AS44"/>
  <c r="AR44"/>
  <c r="AQ44"/>
  <c r="AP44"/>
  <c r="AO44"/>
  <c r="AN44"/>
  <c r="AM44"/>
  <c r="AL44"/>
  <c r="AK44"/>
  <c r="AJ44"/>
  <c r="AI44"/>
  <c r="AH44"/>
  <c r="AG44"/>
  <c r="AF44"/>
  <c r="AE44"/>
  <c r="AD44"/>
  <c r="AC44"/>
  <c r="AB44"/>
  <c r="AA44"/>
  <c r="Z44"/>
  <c r="Y44"/>
  <c r="X44"/>
  <c r="W44"/>
  <c r="V44"/>
  <c r="U44"/>
  <c r="T44"/>
  <c r="S44"/>
  <c r="R44"/>
  <c r="Q44"/>
  <c r="P44"/>
  <c r="O44"/>
  <c r="N44"/>
  <c r="M44"/>
  <c r="L44"/>
  <c r="K44"/>
  <c r="J44"/>
  <c r="A44" a="1"/>
  <c r="A44" s="1"/>
  <c r="I44" s="1"/>
  <c r="AW43"/>
  <c r="AU43"/>
  <c r="AT43"/>
  <c r="AR43"/>
  <c r="AQ43"/>
  <c r="AP43"/>
  <c r="AO43"/>
  <c r="AN43"/>
  <c r="AM43"/>
  <c r="AL43"/>
  <c r="AK43"/>
  <c r="AJ43"/>
  <c r="AI43"/>
  <c r="AH43"/>
  <c r="AG43"/>
  <c r="AF43"/>
  <c r="AE43"/>
  <c r="AD43"/>
  <c r="AC43"/>
  <c r="AB43"/>
  <c r="AA43"/>
  <c r="Z43"/>
  <c r="Y43"/>
  <c r="X43"/>
  <c r="W43"/>
  <c r="V43"/>
  <c r="U43"/>
  <c r="T43"/>
  <c r="S43"/>
  <c r="R43"/>
  <c r="Q43"/>
  <c r="P43"/>
  <c r="O43"/>
  <c r="N43"/>
  <c r="M43"/>
  <c r="L43"/>
  <c r="K43"/>
  <c r="J43"/>
  <c r="D43"/>
  <c r="AV42"/>
  <c r="AU42"/>
  <c r="AT42"/>
  <c r="AS42"/>
  <c r="AR42"/>
  <c r="AQ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W42"/>
  <c r="V42"/>
  <c r="U42"/>
  <c r="T42"/>
  <c r="S42"/>
  <c r="R42"/>
  <c r="Q42"/>
  <c r="P42"/>
  <c r="O42"/>
  <c r="N42"/>
  <c r="M42"/>
  <c r="L42"/>
  <c r="K42"/>
  <c r="J42"/>
  <c r="D42"/>
  <c r="AV41"/>
  <c r="AU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Y41"/>
  <c r="X41"/>
  <c r="W41"/>
  <c r="V41"/>
  <c r="U41"/>
  <c r="T41"/>
  <c r="S41"/>
  <c r="R41"/>
  <c r="Q41"/>
  <c r="P41"/>
  <c r="O41"/>
  <c r="N41"/>
  <c r="M41"/>
  <c r="L41"/>
  <c r="K41"/>
  <c r="J41"/>
  <c r="D41"/>
  <c r="AV40"/>
  <c r="AU40"/>
  <c r="AT40"/>
  <c r="AS40"/>
  <c r="AR40"/>
  <c r="AQ40"/>
  <c r="AP40"/>
  <c r="AO40"/>
  <c r="AN40"/>
  <c r="AM40"/>
  <c r="AL40"/>
  <c r="AK40"/>
  <c r="AJ40"/>
  <c r="AI40"/>
  <c r="AG40"/>
  <c r="AF40"/>
  <c r="AE40"/>
  <c r="AD40"/>
  <c r="AC40"/>
  <c r="AB40"/>
  <c r="AA40"/>
  <c r="Z40"/>
  <c r="Y40"/>
  <c r="X40"/>
  <c r="W40"/>
  <c r="V40"/>
  <c r="U40"/>
  <c r="T40"/>
  <c r="S40"/>
  <c r="R40"/>
  <c r="Q40"/>
  <c r="P40"/>
  <c r="O40"/>
  <c r="N40"/>
  <c r="M40"/>
  <c r="L40"/>
  <c r="K40"/>
  <c r="J40"/>
  <c r="D40"/>
  <c r="AW39"/>
  <c r="AU39"/>
  <c r="AT39"/>
  <c r="AS39"/>
  <c r="AR39"/>
  <c r="AQ39"/>
  <c r="AP39"/>
  <c r="AN39"/>
  <c r="AM39"/>
  <c r="AL39"/>
  <c r="AK39"/>
  <c r="AJ39"/>
  <c r="AI39"/>
  <c r="AH39"/>
  <c r="AG39"/>
  <c r="AF39"/>
  <c r="AE39"/>
  <c r="AD39"/>
  <c r="AC39"/>
  <c r="AB39"/>
  <c r="AA39"/>
  <c r="Z39"/>
  <c r="Y39"/>
  <c r="X39"/>
  <c r="W39"/>
  <c r="V39"/>
  <c r="U39"/>
  <c r="T39"/>
  <c r="S39"/>
  <c r="R39"/>
  <c r="Q39"/>
  <c r="P39"/>
  <c r="O39"/>
  <c r="N39"/>
  <c r="M39"/>
  <c r="L39"/>
  <c r="K39"/>
  <c r="J39"/>
  <c r="D39"/>
  <c r="AW38"/>
  <c r="AU38"/>
  <c r="AT38"/>
  <c r="AS38"/>
  <c r="AR38"/>
  <c r="AQ38"/>
  <c r="AP38"/>
  <c r="AO38"/>
  <c r="AN38"/>
  <c r="AL38"/>
  <c r="AK38"/>
  <c r="AJ38"/>
  <c r="AI38"/>
  <c r="AH38"/>
  <c r="AG38"/>
  <c r="AF38"/>
  <c r="AE38"/>
  <c r="AD38"/>
  <c r="AC38"/>
  <c r="AB38"/>
  <c r="AA38"/>
  <c r="Z38"/>
  <c r="Y38"/>
  <c r="X38"/>
  <c r="W38"/>
  <c r="V38"/>
  <c r="U38"/>
  <c r="T38"/>
  <c r="S38"/>
  <c r="Q38"/>
  <c r="P38"/>
  <c r="O38"/>
  <c r="N38"/>
  <c r="M38"/>
  <c r="L38"/>
  <c r="K38"/>
  <c r="J38"/>
  <c r="D38"/>
  <c r="A10" a="1"/>
  <c r="A10" s="1"/>
  <c r="AW63" i="48"/>
  <c r="AV63"/>
  <c r="AU63"/>
  <c r="AT63"/>
  <c r="AS63"/>
  <c r="AR63"/>
  <c r="AQ63"/>
  <c r="AP63"/>
  <c r="AO63"/>
  <c r="AN63"/>
  <c r="AM63"/>
  <c r="AL63"/>
  <c r="AK63"/>
  <c r="AJ63"/>
  <c r="AI63"/>
  <c r="AH63"/>
  <c r="AG63"/>
  <c r="AF63"/>
  <c r="AE63"/>
  <c r="AD63"/>
  <c r="AC63"/>
  <c r="AB63"/>
  <c r="AA63"/>
  <c r="Z63"/>
  <c r="Y63"/>
  <c r="X63"/>
  <c r="W63"/>
  <c r="V63"/>
  <c r="U63"/>
  <c r="T63"/>
  <c r="S63"/>
  <c r="R63"/>
  <c r="Q63"/>
  <c r="P63"/>
  <c r="O63"/>
  <c r="N63"/>
  <c r="M63"/>
  <c r="L63"/>
  <c r="K63"/>
  <c r="J63"/>
  <c r="AW62"/>
  <c r="AU62"/>
  <c r="AT62"/>
  <c r="AR62"/>
  <c r="AQ62"/>
  <c r="AP62"/>
  <c r="AO62"/>
  <c r="AN62"/>
  <c r="AM62"/>
  <c r="AL62"/>
  <c r="AK62"/>
  <c r="AJ62"/>
  <c r="AI62"/>
  <c r="AH62"/>
  <c r="AG62"/>
  <c r="AF62"/>
  <c r="AE62"/>
  <c r="AD62"/>
  <c r="AC62"/>
  <c r="AB62"/>
  <c r="AA62"/>
  <c r="Z62"/>
  <c r="Y62"/>
  <c r="X62"/>
  <c r="W62"/>
  <c r="V62"/>
  <c r="U62"/>
  <c r="T62"/>
  <c r="S62"/>
  <c r="R62"/>
  <c r="Q62"/>
  <c r="P62"/>
  <c r="O62"/>
  <c r="N62"/>
  <c r="M62"/>
  <c r="L62"/>
  <c r="K62"/>
  <c r="J62"/>
  <c r="D62"/>
  <c r="AV61"/>
  <c r="AU61"/>
  <c r="AT61"/>
  <c r="AS61"/>
  <c r="AR61"/>
  <c r="AQ61"/>
  <c r="AO61"/>
  <c r="AN61"/>
  <c r="AM61"/>
  <c r="AL61"/>
  <c r="AK61"/>
  <c r="AJ61"/>
  <c r="AI61"/>
  <c r="AH61"/>
  <c r="AG61"/>
  <c r="AF61"/>
  <c r="AE61"/>
  <c r="AD61"/>
  <c r="AC61"/>
  <c r="AB61"/>
  <c r="AA61"/>
  <c r="Z61"/>
  <c r="Y61"/>
  <c r="X61"/>
  <c r="W61"/>
  <c r="V61"/>
  <c r="U61"/>
  <c r="T61"/>
  <c r="S61"/>
  <c r="R61"/>
  <c r="Q61"/>
  <c r="P61"/>
  <c r="O61"/>
  <c r="N61"/>
  <c r="M61"/>
  <c r="L61"/>
  <c r="K61"/>
  <c r="J61"/>
  <c r="D61"/>
  <c r="AV60"/>
  <c r="AU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Y60"/>
  <c r="X60"/>
  <c r="W60"/>
  <c r="V60"/>
  <c r="U60"/>
  <c r="T60"/>
  <c r="S60"/>
  <c r="R60"/>
  <c r="Q60"/>
  <c r="P60"/>
  <c r="O60"/>
  <c r="N60"/>
  <c r="M60"/>
  <c r="L60"/>
  <c r="K60"/>
  <c r="J60"/>
  <c r="D60"/>
  <c r="AV59"/>
  <c r="AU59"/>
  <c r="AT59"/>
  <c r="AS59"/>
  <c r="AR59"/>
  <c r="AQ59"/>
  <c r="AP59"/>
  <c r="AO59"/>
  <c r="AN59"/>
  <c r="AM59"/>
  <c r="AL59"/>
  <c r="AK59"/>
  <c r="AJ59"/>
  <c r="AI59"/>
  <c r="AG59"/>
  <c r="AF59"/>
  <c r="AE59"/>
  <c r="AD59"/>
  <c r="AC59"/>
  <c r="AB59"/>
  <c r="AA59"/>
  <c r="Z59"/>
  <c r="Y59"/>
  <c r="X59"/>
  <c r="W59"/>
  <c r="V59"/>
  <c r="U59"/>
  <c r="T59"/>
  <c r="S59"/>
  <c r="R59"/>
  <c r="Q59"/>
  <c r="P59"/>
  <c r="O59"/>
  <c r="N59"/>
  <c r="M59"/>
  <c r="L59"/>
  <c r="K59"/>
  <c r="J59"/>
  <c r="D59"/>
  <c r="AW58"/>
  <c r="AU58"/>
  <c r="AT58"/>
  <c r="AS58"/>
  <c r="AR58"/>
  <c r="AQ58"/>
  <c r="AP58"/>
  <c r="AN58"/>
  <c r="AM58"/>
  <c r="AL58"/>
  <c r="AK58"/>
  <c r="AJ58"/>
  <c r="AI58"/>
  <c r="AH58"/>
  <c r="AG58"/>
  <c r="AF58"/>
  <c r="AE58"/>
  <c r="AD58"/>
  <c r="AC58"/>
  <c r="AB58"/>
  <c r="AA58"/>
  <c r="Z58"/>
  <c r="Y58"/>
  <c r="X58"/>
  <c r="W58"/>
  <c r="V58"/>
  <c r="U58"/>
  <c r="T58"/>
  <c r="S58"/>
  <c r="R58"/>
  <c r="Q58"/>
  <c r="P58"/>
  <c r="O58"/>
  <c r="N58"/>
  <c r="M58"/>
  <c r="L58"/>
  <c r="K58"/>
  <c r="J58"/>
  <c r="D58"/>
  <c r="AW57"/>
  <c r="AU57"/>
  <c r="AT57"/>
  <c r="AS57"/>
  <c r="AR57"/>
  <c r="AQ57"/>
  <c r="AP57"/>
  <c r="AO57"/>
  <c r="AN57"/>
  <c r="AL57"/>
  <c r="AK57"/>
  <c r="AJ57"/>
  <c r="AI57"/>
  <c r="AH57"/>
  <c r="AG57"/>
  <c r="AF57"/>
  <c r="AE57"/>
  <c r="AD57"/>
  <c r="AC57"/>
  <c r="AB57"/>
  <c r="AA57"/>
  <c r="Z57"/>
  <c r="Y57"/>
  <c r="X57"/>
  <c r="W57"/>
  <c r="V57"/>
  <c r="U57"/>
  <c r="T57"/>
  <c r="S57"/>
  <c r="Q57"/>
  <c r="P57"/>
  <c r="O57"/>
  <c r="N57"/>
  <c r="M57"/>
  <c r="L57"/>
  <c r="K57"/>
  <c r="J57"/>
  <c r="D57"/>
  <c r="AW56"/>
  <c r="AV56"/>
  <c r="AU56"/>
  <c r="AT56"/>
  <c r="AS56"/>
  <c r="AR56"/>
  <c r="AQ56"/>
  <c r="AP56"/>
  <c r="AO56"/>
  <c r="AN56"/>
  <c r="AM56"/>
  <c r="AL56"/>
  <c r="AK56"/>
  <c r="AJ56"/>
  <c r="AG56"/>
  <c r="AE56"/>
  <c r="AD56"/>
  <c r="AC56"/>
  <c r="AB56"/>
  <c r="AA56"/>
  <c r="Z56"/>
  <c r="Y56"/>
  <c r="X56"/>
  <c r="W56"/>
  <c r="V56"/>
  <c r="U56"/>
  <c r="T56"/>
  <c r="S56"/>
  <c r="R56"/>
  <c r="Q56"/>
  <c r="P56"/>
  <c r="O56"/>
  <c r="N56"/>
  <c r="M56"/>
  <c r="L56"/>
  <c r="K56"/>
  <c r="J56"/>
  <c r="AH56"/>
  <c r="D56"/>
  <c r="A10" a="1"/>
  <c r="A10" s="1"/>
  <c r="W7" i="34"/>
  <c r="W219" l="1"/>
  <c r="W221"/>
  <c r="W223"/>
  <c r="W225"/>
  <c r="W227"/>
  <c r="W229"/>
  <c r="W231"/>
  <c r="W233"/>
  <c r="W220"/>
  <c r="W222"/>
  <c r="W224"/>
  <c r="W226"/>
  <c r="W228"/>
  <c r="W230"/>
  <c r="W232"/>
  <c r="W234"/>
  <c r="W212"/>
  <c r="W214"/>
  <c r="W216"/>
  <c r="W218"/>
  <c r="W211"/>
  <c r="W213"/>
  <c r="W215"/>
  <c r="W217"/>
  <c r="W13"/>
  <c r="W15"/>
  <c r="W17"/>
  <c r="W19"/>
  <c r="W21"/>
  <c r="W23"/>
  <c r="W25"/>
  <c r="W27"/>
  <c r="W29"/>
  <c r="W31"/>
  <c r="W33"/>
  <c r="W35"/>
  <c r="W37"/>
  <c r="W39"/>
  <c r="W41"/>
  <c r="W43"/>
  <c r="W45"/>
  <c r="W47"/>
  <c r="W49"/>
  <c r="W51"/>
  <c r="W53"/>
  <c r="W55"/>
  <c r="W57"/>
  <c r="W59"/>
  <c r="W61"/>
  <c r="W63"/>
  <c r="W65"/>
  <c r="W67"/>
  <c r="W69"/>
  <c r="W71"/>
  <c r="W73"/>
  <c r="W75"/>
  <c r="W77"/>
  <c r="W79"/>
  <c r="W81"/>
  <c r="W83"/>
  <c r="W85"/>
  <c r="W87"/>
  <c r="W89"/>
  <c r="W91"/>
  <c r="W93"/>
  <c r="W95"/>
  <c r="W97"/>
  <c r="W99"/>
  <c r="W101"/>
  <c r="W103"/>
  <c r="W105"/>
  <c r="W107"/>
  <c r="W109"/>
  <c r="W111"/>
  <c r="W113"/>
  <c r="W115"/>
  <c r="W117"/>
  <c r="W119"/>
  <c r="W121"/>
  <c r="W123"/>
  <c r="W125"/>
  <c r="W127"/>
  <c r="W129"/>
  <c r="W131"/>
  <c r="W133"/>
  <c r="W135"/>
  <c r="W137"/>
  <c r="W139"/>
  <c r="W141"/>
  <c r="W143"/>
  <c r="W145"/>
  <c r="W147"/>
  <c r="W149"/>
  <c r="W151"/>
  <c r="W153"/>
  <c r="W155"/>
  <c r="W157"/>
  <c r="W159"/>
  <c r="W161"/>
  <c r="W163"/>
  <c r="W165"/>
  <c r="W167"/>
  <c r="W169"/>
  <c r="W171"/>
  <c r="W173"/>
  <c r="W175"/>
  <c r="W177"/>
  <c r="W179"/>
  <c r="W181"/>
  <c r="W183"/>
  <c r="W185"/>
  <c r="W187"/>
  <c r="W189"/>
  <c r="W191"/>
  <c r="W193"/>
  <c r="W195"/>
  <c r="W197"/>
  <c r="W199"/>
  <c r="W201"/>
  <c r="W203"/>
  <c r="W205"/>
  <c r="W207"/>
  <c r="W209"/>
  <c r="W12"/>
  <c r="W14"/>
  <c r="W16"/>
  <c r="W18"/>
  <c r="W20"/>
  <c r="W22"/>
  <c r="W24"/>
  <c r="W26"/>
  <c r="W28"/>
  <c r="W30"/>
  <c r="W32"/>
  <c r="W34"/>
  <c r="W36"/>
  <c r="W38"/>
  <c r="W40"/>
  <c r="W42"/>
  <c r="W44"/>
  <c r="W46"/>
  <c r="W48"/>
  <c r="W50"/>
  <c r="W52"/>
  <c r="W54"/>
  <c r="W56"/>
  <c r="W58"/>
  <c r="W60"/>
  <c r="W62"/>
  <c r="W64"/>
  <c r="W66"/>
  <c r="W68"/>
  <c r="W70"/>
  <c r="W72"/>
  <c r="W74"/>
  <c r="W76"/>
  <c r="W78"/>
  <c r="W80"/>
  <c r="W82"/>
  <c r="W84"/>
  <c r="W86"/>
  <c r="W88"/>
  <c r="W90"/>
  <c r="W92"/>
  <c r="W94"/>
  <c r="W96"/>
  <c r="W98"/>
  <c r="W100"/>
  <c r="W102"/>
  <c r="W104"/>
  <c r="W106"/>
  <c r="W108"/>
  <c r="W110"/>
  <c r="W112"/>
  <c r="W114"/>
  <c r="W116"/>
  <c r="W118"/>
  <c r="W120"/>
  <c r="W122"/>
  <c r="W124"/>
  <c r="W126"/>
  <c r="W128"/>
  <c r="W130"/>
  <c r="W132"/>
  <c r="W134"/>
  <c r="W136"/>
  <c r="W138"/>
  <c r="W140"/>
  <c r="W142"/>
  <c r="W144"/>
  <c r="W146"/>
  <c r="W148"/>
  <c r="W150"/>
  <c r="W152"/>
  <c r="W154"/>
  <c r="W156"/>
  <c r="W158"/>
  <c r="W160"/>
  <c r="W162"/>
  <c r="W164"/>
  <c r="W166"/>
  <c r="W168"/>
  <c r="W170"/>
  <c r="W172"/>
  <c r="W174"/>
  <c r="W176"/>
  <c r="W178"/>
  <c r="W180"/>
  <c r="W182"/>
  <c r="W184"/>
  <c r="W186"/>
  <c r="W188"/>
  <c r="W190"/>
  <c r="W192"/>
  <c r="W194"/>
  <c r="W196"/>
  <c r="W198"/>
  <c r="W200"/>
  <c r="W202"/>
  <c r="W204"/>
  <c r="W206"/>
  <c r="W208"/>
  <c r="W210"/>
  <c r="AI56" i="48"/>
  <c r="AF56"/>
  <c r="W10" i="34"/>
  <c r="W11"/>
  <c r="AV57" i="48" l="1"/>
  <c r="AV72" i="51"/>
  <c r="AV76" i="50"/>
  <c r="AV38" i="49"/>
  <c r="D16" i="47"/>
  <c r="E17"/>
  <c r="B18"/>
  <c r="F18"/>
  <c r="D20"/>
  <c r="E21"/>
  <c r="B22"/>
  <c r="F22"/>
  <c r="G23"/>
  <c r="D24"/>
  <c r="A25"/>
  <c r="E25"/>
  <c r="B26"/>
  <c r="F26"/>
  <c r="C27"/>
  <c r="G27"/>
  <c r="D28"/>
  <c r="A29"/>
  <c r="E29"/>
  <c r="B30"/>
  <c r="F30"/>
  <c r="C31"/>
  <c r="G31"/>
  <c r="D32"/>
  <c r="C16"/>
  <c r="G16"/>
  <c r="D17"/>
  <c r="A18"/>
  <c r="E18"/>
  <c r="B19"/>
  <c r="F19"/>
  <c r="C20"/>
  <c r="G20"/>
  <c r="D21"/>
  <c r="A22"/>
  <c r="E22"/>
  <c r="B23"/>
  <c r="F23"/>
  <c r="G24"/>
  <c r="D25"/>
  <c r="A26"/>
  <c r="E26"/>
  <c r="B27"/>
  <c r="F27"/>
  <c r="C28"/>
  <c r="G28"/>
  <c r="D29"/>
  <c r="A30"/>
  <c r="E30"/>
  <c r="B31"/>
  <c r="F31"/>
  <c r="C32"/>
  <c r="G32"/>
  <c r="B16"/>
  <c r="G17"/>
  <c r="D18"/>
  <c r="A19"/>
  <c r="E19"/>
  <c r="B20"/>
  <c r="G21"/>
  <c r="D22"/>
  <c r="A23"/>
  <c r="E23"/>
  <c r="B24"/>
  <c r="F24"/>
  <c r="C25"/>
  <c r="G25"/>
  <c r="D26"/>
  <c r="A27"/>
  <c r="E27"/>
  <c r="B28"/>
  <c r="F28"/>
  <c r="C29"/>
  <c r="G29"/>
  <c r="D30"/>
  <c r="A31"/>
  <c r="E31"/>
  <c r="B32"/>
  <c r="F32"/>
  <c r="A16"/>
  <c r="E16"/>
  <c r="B17"/>
  <c r="D19"/>
  <c r="A20"/>
  <c r="E20"/>
  <c r="B21"/>
  <c r="F21"/>
  <c r="G22"/>
  <c r="D23"/>
  <c r="A24"/>
  <c r="E24"/>
  <c r="B25"/>
  <c r="F25"/>
  <c r="C26"/>
  <c r="G26"/>
  <c r="D27"/>
  <c r="A28"/>
  <c r="E28"/>
  <c r="B29"/>
  <c r="F29"/>
  <c r="C30"/>
  <c r="G30"/>
  <c r="D31"/>
  <c r="A32"/>
  <c r="E32"/>
  <c r="B15"/>
  <c r="D15"/>
  <c r="F15"/>
  <c r="E15"/>
  <c r="I14" l="1"/>
  <c r="H14"/>
  <c r="E8"/>
  <c r="V11" i="34" l="1"/>
  <c r="V10"/>
  <c r="H15" i="46"/>
  <c r="G15"/>
  <c r="B17" l="1"/>
  <c r="A16"/>
  <c r="H16"/>
  <c r="G16"/>
  <c r="G17"/>
  <c r="E17"/>
  <c r="C17"/>
  <c r="A17"/>
  <c r="B16"/>
  <c r="D16"/>
  <c r="F16" s="1"/>
  <c r="E16"/>
  <c r="H17"/>
  <c r="D17"/>
  <c r="F17" s="1"/>
  <c r="G9"/>
  <c r="G24" l="1"/>
  <c r="A23"/>
  <c r="G19"/>
  <c r="H19"/>
  <c r="F10" i="45"/>
  <c r="E10"/>
  <c r="H20" i="46" l="1"/>
  <c r="G20"/>
  <c r="J9" i="44"/>
  <c r="D39" s="1"/>
  <c r="I9"/>
  <c r="E34"/>
  <c r="B159" i="34"/>
  <c r="B160"/>
  <c r="B161"/>
  <c r="B162"/>
  <c r="B163"/>
  <c r="B164"/>
  <c r="B165"/>
  <c r="B166"/>
  <c r="B167"/>
  <c r="B168"/>
  <c r="B169"/>
  <c r="B170"/>
  <c r="B171"/>
  <c r="B172"/>
  <c r="B173"/>
  <c r="B174"/>
  <c r="B175"/>
  <c r="B179"/>
  <c r="B180"/>
  <c r="B181"/>
  <c r="B182"/>
  <c r="B183"/>
  <c r="B115"/>
  <c r="B116"/>
  <c r="B117"/>
  <c r="B119"/>
  <c r="B120"/>
  <c r="B122"/>
  <c r="B123"/>
  <c r="B124"/>
  <c r="B125"/>
  <c r="B126"/>
  <c r="B127"/>
  <c r="B128"/>
  <c r="B129"/>
  <c r="B130"/>
  <c r="B131"/>
  <c r="B59"/>
  <c r="B60"/>
  <c r="B61"/>
  <c r="B62"/>
  <c r="B63"/>
  <c r="B64"/>
  <c r="B66"/>
  <c r="B67"/>
  <c r="B70"/>
  <c r="B71"/>
  <c r="B72"/>
  <c r="B73"/>
  <c r="B75"/>
  <c r="B76"/>
  <c r="B77"/>
  <c r="B78"/>
  <c r="B79"/>
  <c r="B80"/>
  <c r="B82"/>
  <c r="B18"/>
  <c r="B19"/>
  <c r="B20"/>
  <c r="B21"/>
  <c r="B22"/>
  <c r="B23"/>
  <c r="B24"/>
  <c r="B25"/>
  <c r="B26"/>
  <c r="B27"/>
  <c r="B28"/>
  <c r="B29"/>
  <c r="B30"/>
  <c r="B31"/>
  <c r="B32"/>
  <c r="B33"/>
  <c r="B35"/>
  <c r="B36"/>
  <c r="B38"/>
  <c r="B39"/>
  <c r="O9" i="43"/>
  <c r="N9"/>
  <c r="O10" i="42"/>
  <c r="N10"/>
  <c r="T219" i="34" l="1"/>
  <c r="S220"/>
  <c r="U220"/>
  <c r="T221"/>
  <c r="S222"/>
  <c r="U223"/>
  <c r="U224"/>
  <c r="S225"/>
  <c r="S226"/>
  <c r="U227"/>
  <c r="U228"/>
  <c r="S229"/>
  <c r="S230"/>
  <c r="U231"/>
  <c r="U232"/>
  <c r="S233"/>
  <c r="S234"/>
  <c r="S219"/>
  <c r="U219"/>
  <c r="T220"/>
  <c r="S221"/>
  <c r="U221"/>
  <c r="U222"/>
  <c r="S223"/>
  <c r="S224"/>
  <c r="U225"/>
  <c r="U226"/>
  <c r="S227"/>
  <c r="S228"/>
  <c r="U229"/>
  <c r="U230"/>
  <c r="S231"/>
  <c r="S232"/>
  <c r="U233"/>
  <c r="U234"/>
  <c r="T231"/>
  <c r="T227"/>
  <c r="T223"/>
  <c r="T234"/>
  <c r="T232"/>
  <c r="T230"/>
  <c r="T228"/>
  <c r="T226"/>
  <c r="T222"/>
  <c r="T233"/>
  <c r="T229"/>
  <c r="T225"/>
  <c r="T224"/>
  <c r="U217"/>
  <c r="T215"/>
  <c r="S215"/>
  <c r="U218"/>
  <c r="T218"/>
  <c r="S216"/>
  <c r="T217"/>
  <c r="S217"/>
  <c r="U215"/>
  <c r="S218"/>
  <c r="U216"/>
  <c r="T216"/>
  <c r="T16"/>
  <c r="S16"/>
  <c r="U16"/>
  <c r="Q219"/>
  <c r="Q221"/>
  <c r="Q224"/>
  <c r="Q225"/>
  <c r="Q228"/>
  <c r="Q229"/>
  <c r="Q232"/>
  <c r="Q233"/>
  <c r="P219"/>
  <c r="R219"/>
  <c r="Q220"/>
  <c r="P221"/>
  <c r="R221"/>
  <c r="Q222"/>
  <c r="Q223"/>
  <c r="Q226"/>
  <c r="Q227"/>
  <c r="Q230"/>
  <c r="Q231"/>
  <c r="Q234"/>
  <c r="R233"/>
  <c r="P231"/>
  <c r="R229"/>
  <c r="P227"/>
  <c r="R225"/>
  <c r="P223"/>
  <c r="P234"/>
  <c r="P232"/>
  <c r="P230"/>
  <c r="P228"/>
  <c r="P226"/>
  <c r="P224"/>
  <c r="P222"/>
  <c r="P220"/>
  <c r="R220"/>
  <c r="P233"/>
  <c r="R231"/>
  <c r="P229"/>
  <c r="R227"/>
  <c r="P225"/>
  <c r="R223"/>
  <c r="R234"/>
  <c r="R232"/>
  <c r="R230"/>
  <c r="R228"/>
  <c r="R226"/>
  <c r="R224"/>
  <c r="R222"/>
  <c r="R217"/>
  <c r="R215"/>
  <c r="R218"/>
  <c r="R216"/>
  <c r="P217"/>
  <c r="Q217"/>
  <c r="P215"/>
  <c r="Q215"/>
  <c r="Q218"/>
  <c r="P218"/>
  <c r="Q216"/>
  <c r="P216"/>
  <c r="N219"/>
  <c r="M220"/>
  <c r="M221"/>
  <c r="M222"/>
  <c r="M223"/>
  <c r="O224"/>
  <c r="O225"/>
  <c r="M226"/>
  <c r="M227"/>
  <c r="O228"/>
  <c r="O229"/>
  <c r="M230"/>
  <c r="M231"/>
  <c r="O232"/>
  <c r="O233"/>
  <c r="M234"/>
  <c r="M219"/>
  <c r="O219"/>
  <c r="O220"/>
  <c r="O221"/>
  <c r="O222"/>
  <c r="O223"/>
  <c r="M224"/>
  <c r="M225"/>
  <c r="O226"/>
  <c r="O227"/>
  <c r="M228"/>
  <c r="M229"/>
  <c r="O230"/>
  <c r="O231"/>
  <c r="M232"/>
  <c r="M233"/>
  <c r="O234"/>
  <c r="N233"/>
  <c r="N231"/>
  <c r="N229"/>
  <c r="N227"/>
  <c r="N225"/>
  <c r="N223"/>
  <c r="N234"/>
  <c r="N230"/>
  <c r="N222"/>
  <c r="N221"/>
  <c r="N232"/>
  <c r="N228"/>
  <c r="N224"/>
  <c r="N220"/>
  <c r="N226"/>
  <c r="M217"/>
  <c r="N215"/>
  <c r="O215"/>
  <c r="O218"/>
  <c r="M216"/>
  <c r="N216"/>
  <c r="N217"/>
  <c r="O217"/>
  <c r="M215"/>
  <c r="M218"/>
  <c r="N218"/>
  <c r="O216"/>
  <c r="X39"/>
  <c r="A39"/>
  <c r="X36"/>
  <c r="A36"/>
  <c r="X33"/>
  <c r="A33"/>
  <c r="X31"/>
  <c r="A31"/>
  <c r="X29"/>
  <c r="A29"/>
  <c r="X27"/>
  <c r="A27"/>
  <c r="X25"/>
  <c r="A25"/>
  <c r="X23"/>
  <c r="A23"/>
  <c r="X21"/>
  <c r="A21"/>
  <c r="X19"/>
  <c r="A19"/>
  <c r="X82"/>
  <c r="A82"/>
  <c r="X79"/>
  <c r="A79"/>
  <c r="X77"/>
  <c r="A77"/>
  <c r="X75"/>
  <c r="A75"/>
  <c r="X72"/>
  <c r="A72"/>
  <c r="X70"/>
  <c r="A70"/>
  <c r="X66"/>
  <c r="A66"/>
  <c r="X63"/>
  <c r="A63"/>
  <c r="X61"/>
  <c r="A61"/>
  <c r="X59"/>
  <c r="A59"/>
  <c r="X130"/>
  <c r="A130"/>
  <c r="X128"/>
  <c r="A128"/>
  <c r="X126"/>
  <c r="A126"/>
  <c r="X124"/>
  <c r="A124"/>
  <c r="X122"/>
  <c r="A122"/>
  <c r="X119"/>
  <c r="A119"/>
  <c r="X116"/>
  <c r="A116"/>
  <c r="X183"/>
  <c r="A183"/>
  <c r="X181"/>
  <c r="A181"/>
  <c r="X179"/>
  <c r="A179"/>
  <c r="X174"/>
  <c r="A174"/>
  <c r="X172"/>
  <c r="A172"/>
  <c r="X170"/>
  <c r="A170"/>
  <c r="X168"/>
  <c r="A168"/>
  <c r="X166"/>
  <c r="A166"/>
  <c r="X164"/>
  <c r="A164"/>
  <c r="X162"/>
  <c r="A162"/>
  <c r="X160"/>
  <c r="A160"/>
  <c r="X38"/>
  <c r="A38"/>
  <c r="X35"/>
  <c r="A35"/>
  <c r="X32"/>
  <c r="A32"/>
  <c r="X30"/>
  <c r="A30"/>
  <c r="X28"/>
  <c r="A28"/>
  <c r="X26"/>
  <c r="A26"/>
  <c r="X24"/>
  <c r="A24"/>
  <c r="X22"/>
  <c r="A22"/>
  <c r="X20"/>
  <c r="A20"/>
  <c r="X18"/>
  <c r="A18"/>
  <c r="X80"/>
  <c r="A80"/>
  <c r="X78"/>
  <c r="A78"/>
  <c r="X76"/>
  <c r="A76"/>
  <c r="X73"/>
  <c r="A73"/>
  <c r="X71"/>
  <c r="A71"/>
  <c r="X67"/>
  <c r="A67"/>
  <c r="X64"/>
  <c r="A64"/>
  <c r="X62"/>
  <c r="A62"/>
  <c r="X60"/>
  <c r="A60"/>
  <c r="X131"/>
  <c r="A131"/>
  <c r="X129"/>
  <c r="A129"/>
  <c r="X127"/>
  <c r="A127"/>
  <c r="X125"/>
  <c r="A125"/>
  <c r="X123"/>
  <c r="A123"/>
  <c r="X120"/>
  <c r="A120"/>
  <c r="X117"/>
  <c r="A117"/>
  <c r="X115"/>
  <c r="A115"/>
  <c r="X182"/>
  <c r="A182"/>
  <c r="X180"/>
  <c r="A180"/>
  <c r="X175"/>
  <c r="A175"/>
  <c r="X173"/>
  <c r="A173"/>
  <c r="X171"/>
  <c r="A171"/>
  <c r="X169"/>
  <c r="A169"/>
  <c r="X167"/>
  <c r="A167"/>
  <c r="X165"/>
  <c r="A165"/>
  <c r="X163"/>
  <c r="A163"/>
  <c r="X161"/>
  <c r="A161"/>
  <c r="X159"/>
  <c r="A159"/>
  <c r="M16"/>
  <c r="N16"/>
  <c r="O16"/>
  <c r="N39"/>
  <c r="S39"/>
  <c r="U39"/>
  <c r="O39"/>
  <c r="T39"/>
  <c r="M39"/>
  <c r="M36"/>
  <c r="O36"/>
  <c r="T36"/>
  <c r="S36"/>
  <c r="N36"/>
  <c r="U36"/>
  <c r="N33"/>
  <c r="S33"/>
  <c r="U33"/>
  <c r="O33"/>
  <c r="T33"/>
  <c r="M33"/>
  <c r="N31"/>
  <c r="S31"/>
  <c r="U31"/>
  <c r="O31"/>
  <c r="T31"/>
  <c r="M31"/>
  <c r="N29"/>
  <c r="S29"/>
  <c r="U29"/>
  <c r="O29"/>
  <c r="T29"/>
  <c r="M29"/>
  <c r="N27"/>
  <c r="S27"/>
  <c r="U27"/>
  <c r="O27"/>
  <c r="T27"/>
  <c r="M27"/>
  <c r="N25"/>
  <c r="S25"/>
  <c r="U25"/>
  <c r="O25"/>
  <c r="T25"/>
  <c r="M25"/>
  <c r="N23"/>
  <c r="S23"/>
  <c r="U23"/>
  <c r="O23"/>
  <c r="T23"/>
  <c r="M23"/>
  <c r="N21"/>
  <c r="S21"/>
  <c r="U21"/>
  <c r="O21"/>
  <c r="T21"/>
  <c r="M21"/>
  <c r="N19"/>
  <c r="S19"/>
  <c r="U19"/>
  <c r="O19"/>
  <c r="T19"/>
  <c r="M19"/>
  <c r="M82"/>
  <c r="O82"/>
  <c r="T82"/>
  <c r="S82"/>
  <c r="N82"/>
  <c r="U82"/>
  <c r="N79"/>
  <c r="S79"/>
  <c r="U79"/>
  <c r="O79"/>
  <c r="T79"/>
  <c r="M79"/>
  <c r="N77"/>
  <c r="S77"/>
  <c r="U77"/>
  <c r="O77"/>
  <c r="T77"/>
  <c r="M77"/>
  <c r="N75"/>
  <c r="S75"/>
  <c r="U75"/>
  <c r="O75"/>
  <c r="T75"/>
  <c r="M75"/>
  <c r="M72"/>
  <c r="O72"/>
  <c r="T72"/>
  <c r="S72"/>
  <c r="N72"/>
  <c r="U72"/>
  <c r="M70"/>
  <c r="O70"/>
  <c r="T70"/>
  <c r="S70"/>
  <c r="N70"/>
  <c r="U70"/>
  <c r="M66"/>
  <c r="O66"/>
  <c r="T66"/>
  <c r="S66"/>
  <c r="N66"/>
  <c r="U66"/>
  <c r="N63"/>
  <c r="S63"/>
  <c r="U63"/>
  <c r="O63"/>
  <c r="T63"/>
  <c r="M63"/>
  <c r="N61"/>
  <c r="S61"/>
  <c r="U61"/>
  <c r="O61"/>
  <c r="T61"/>
  <c r="M61"/>
  <c r="N59"/>
  <c r="S59"/>
  <c r="U59"/>
  <c r="O59"/>
  <c r="T59"/>
  <c r="M59"/>
  <c r="N130"/>
  <c r="S130"/>
  <c r="U130"/>
  <c r="O130"/>
  <c r="M130"/>
  <c r="T130"/>
  <c r="N128"/>
  <c r="S128"/>
  <c r="U128"/>
  <c r="O128"/>
  <c r="M128"/>
  <c r="T128"/>
  <c r="N126"/>
  <c r="S126"/>
  <c r="U126"/>
  <c r="O126"/>
  <c r="M126"/>
  <c r="T126"/>
  <c r="N124"/>
  <c r="S124"/>
  <c r="U124"/>
  <c r="O124"/>
  <c r="M124"/>
  <c r="T124"/>
  <c r="N122"/>
  <c r="S122"/>
  <c r="U122"/>
  <c r="O122"/>
  <c r="M122"/>
  <c r="T122"/>
  <c r="M119"/>
  <c r="O119"/>
  <c r="T119"/>
  <c r="S119"/>
  <c r="N119"/>
  <c r="U119"/>
  <c r="N116"/>
  <c r="S116"/>
  <c r="U116"/>
  <c r="O116"/>
  <c r="M116"/>
  <c r="T116"/>
  <c r="N183"/>
  <c r="S183"/>
  <c r="U183"/>
  <c r="M183"/>
  <c r="O183"/>
  <c r="T183"/>
  <c r="N181"/>
  <c r="S181"/>
  <c r="U181"/>
  <c r="M181"/>
  <c r="O181"/>
  <c r="T181"/>
  <c r="N179"/>
  <c r="S179"/>
  <c r="U179"/>
  <c r="M179"/>
  <c r="O179"/>
  <c r="T179"/>
  <c r="M174"/>
  <c r="O174"/>
  <c r="T174"/>
  <c r="N174"/>
  <c r="S174"/>
  <c r="U174"/>
  <c r="M172"/>
  <c r="O172"/>
  <c r="T172"/>
  <c r="N172"/>
  <c r="S172"/>
  <c r="U172"/>
  <c r="M170"/>
  <c r="O170"/>
  <c r="T170"/>
  <c r="N170"/>
  <c r="S170"/>
  <c r="U170"/>
  <c r="M168"/>
  <c r="O168"/>
  <c r="T168"/>
  <c r="N168"/>
  <c r="S168"/>
  <c r="U168"/>
  <c r="M166"/>
  <c r="O166"/>
  <c r="T166"/>
  <c r="N166"/>
  <c r="S166"/>
  <c r="U166"/>
  <c r="M164"/>
  <c r="O164"/>
  <c r="T164"/>
  <c r="N164"/>
  <c r="S164"/>
  <c r="U164"/>
  <c r="M162"/>
  <c r="O162"/>
  <c r="T162"/>
  <c r="N162"/>
  <c r="S162"/>
  <c r="U162"/>
  <c r="M160"/>
  <c r="O160"/>
  <c r="T160"/>
  <c r="N160"/>
  <c r="S160"/>
  <c r="U160"/>
  <c r="M38"/>
  <c r="O38"/>
  <c r="T38"/>
  <c r="S38"/>
  <c r="N38"/>
  <c r="U38"/>
  <c r="N35"/>
  <c r="S35"/>
  <c r="U35"/>
  <c r="O35"/>
  <c r="T35"/>
  <c r="M35"/>
  <c r="M32"/>
  <c r="O32"/>
  <c r="T32"/>
  <c r="S32"/>
  <c r="N32"/>
  <c r="U32"/>
  <c r="M30"/>
  <c r="O30"/>
  <c r="T30"/>
  <c r="S30"/>
  <c r="N30"/>
  <c r="U30"/>
  <c r="M28"/>
  <c r="O28"/>
  <c r="T28"/>
  <c r="S28"/>
  <c r="N28"/>
  <c r="U28"/>
  <c r="M26"/>
  <c r="O26"/>
  <c r="T26"/>
  <c r="S26"/>
  <c r="N26"/>
  <c r="U26"/>
  <c r="M24"/>
  <c r="O24"/>
  <c r="T24"/>
  <c r="S24"/>
  <c r="N24"/>
  <c r="U24"/>
  <c r="M22"/>
  <c r="O22"/>
  <c r="T22"/>
  <c r="S22"/>
  <c r="N22"/>
  <c r="U22"/>
  <c r="M20"/>
  <c r="O20"/>
  <c r="T20"/>
  <c r="S20"/>
  <c r="N20"/>
  <c r="U20"/>
  <c r="M18"/>
  <c r="O18"/>
  <c r="T18"/>
  <c r="S18"/>
  <c r="N18"/>
  <c r="U18"/>
  <c r="M80"/>
  <c r="O80"/>
  <c r="T80"/>
  <c r="S80"/>
  <c r="N80"/>
  <c r="U80"/>
  <c r="M78"/>
  <c r="O78"/>
  <c r="T78"/>
  <c r="S78"/>
  <c r="N78"/>
  <c r="U78"/>
  <c r="M76"/>
  <c r="O76"/>
  <c r="T76"/>
  <c r="S76"/>
  <c r="N76"/>
  <c r="U76"/>
  <c r="N73"/>
  <c r="S73"/>
  <c r="U73"/>
  <c r="O73"/>
  <c r="T73"/>
  <c r="M73"/>
  <c r="N71"/>
  <c r="S71"/>
  <c r="U71"/>
  <c r="O71"/>
  <c r="T71"/>
  <c r="M71"/>
  <c r="N67"/>
  <c r="S67"/>
  <c r="U67"/>
  <c r="O67"/>
  <c r="T67"/>
  <c r="M67"/>
  <c r="M64"/>
  <c r="O64"/>
  <c r="T64"/>
  <c r="S64"/>
  <c r="N64"/>
  <c r="U64"/>
  <c r="M62"/>
  <c r="O62"/>
  <c r="T62"/>
  <c r="S62"/>
  <c r="N62"/>
  <c r="U62"/>
  <c r="M60"/>
  <c r="O60"/>
  <c r="T60"/>
  <c r="S60"/>
  <c r="N60"/>
  <c r="U60"/>
  <c r="M131"/>
  <c r="O131"/>
  <c r="T131"/>
  <c r="S131"/>
  <c r="N131"/>
  <c r="U131"/>
  <c r="M129"/>
  <c r="O129"/>
  <c r="T129"/>
  <c r="S129"/>
  <c r="N129"/>
  <c r="U129"/>
  <c r="M127"/>
  <c r="O127"/>
  <c r="T127"/>
  <c r="S127"/>
  <c r="N127"/>
  <c r="U127"/>
  <c r="M125"/>
  <c r="O125"/>
  <c r="T125"/>
  <c r="S125"/>
  <c r="N125"/>
  <c r="U125"/>
  <c r="M123"/>
  <c r="O123"/>
  <c r="T123"/>
  <c r="S123"/>
  <c r="N123"/>
  <c r="U123"/>
  <c r="N120"/>
  <c r="S120"/>
  <c r="U120"/>
  <c r="O120"/>
  <c r="M120"/>
  <c r="T120"/>
  <c r="M117"/>
  <c r="O117"/>
  <c r="T117"/>
  <c r="S117"/>
  <c r="N117"/>
  <c r="U117"/>
  <c r="M115"/>
  <c r="O115"/>
  <c r="T115"/>
  <c r="S115"/>
  <c r="N115"/>
  <c r="U115"/>
  <c r="M182"/>
  <c r="O182"/>
  <c r="T182"/>
  <c r="N182"/>
  <c r="S182"/>
  <c r="U182"/>
  <c r="M180"/>
  <c r="O180"/>
  <c r="T180"/>
  <c r="N180"/>
  <c r="S180"/>
  <c r="U180"/>
  <c r="N175"/>
  <c r="S175"/>
  <c r="U175"/>
  <c r="M175"/>
  <c r="O175"/>
  <c r="T175"/>
  <c r="N173"/>
  <c r="S173"/>
  <c r="U173"/>
  <c r="M173"/>
  <c r="O173"/>
  <c r="T173"/>
  <c r="N171"/>
  <c r="S171"/>
  <c r="U171"/>
  <c r="M171"/>
  <c r="O171"/>
  <c r="T171"/>
  <c r="N169"/>
  <c r="S169"/>
  <c r="U169"/>
  <c r="M169"/>
  <c r="O169"/>
  <c r="T169"/>
  <c r="N167"/>
  <c r="S167"/>
  <c r="U167"/>
  <c r="M167"/>
  <c r="O167"/>
  <c r="T167"/>
  <c r="N165"/>
  <c r="S165"/>
  <c r="U165"/>
  <c r="M165"/>
  <c r="O165"/>
  <c r="T165"/>
  <c r="N163"/>
  <c r="S163"/>
  <c r="U163"/>
  <c r="M163"/>
  <c r="O163"/>
  <c r="T163"/>
  <c r="N161"/>
  <c r="S161"/>
  <c r="U161"/>
  <c r="M161"/>
  <c r="O161"/>
  <c r="T161"/>
  <c r="N159"/>
  <c r="S159"/>
  <c r="U159"/>
  <c r="M159"/>
  <c r="O159"/>
  <c r="T159"/>
  <c r="Q16"/>
  <c r="Q18"/>
  <c r="Q19"/>
  <c r="Q20"/>
  <c r="Q21"/>
  <c r="Q22"/>
  <c r="Q23"/>
  <c r="Q24"/>
  <c r="Q25"/>
  <c r="Q26"/>
  <c r="Q27"/>
  <c r="Q28"/>
  <c r="Q29"/>
  <c r="Q30"/>
  <c r="Q31"/>
  <c r="Q32"/>
  <c r="Q33"/>
  <c r="Q35"/>
  <c r="Q36"/>
  <c r="Q38"/>
  <c r="Q39"/>
  <c r="Q59"/>
  <c r="Q60"/>
  <c r="Q61"/>
  <c r="Q62"/>
  <c r="Q63"/>
  <c r="Q64"/>
  <c r="Q66"/>
  <c r="Q67"/>
  <c r="Q70"/>
  <c r="Q71"/>
  <c r="Q72"/>
  <c r="Q73"/>
  <c r="Q75"/>
  <c r="Q76"/>
  <c r="Q77"/>
  <c r="Q78"/>
  <c r="Q79"/>
  <c r="Q80"/>
  <c r="Q82"/>
  <c r="Q115"/>
  <c r="Q116"/>
  <c r="Q117"/>
  <c r="Q119"/>
  <c r="Q120"/>
  <c r="Q122"/>
  <c r="Q123"/>
  <c r="Q124"/>
  <c r="Q125"/>
  <c r="Q126"/>
  <c r="Q127"/>
  <c r="Q128"/>
  <c r="Q129"/>
  <c r="Q130"/>
  <c r="Q131"/>
  <c r="P16"/>
  <c r="R16"/>
  <c r="P18"/>
  <c r="R18"/>
  <c r="P19"/>
  <c r="R19"/>
  <c r="P20"/>
  <c r="R20"/>
  <c r="P21"/>
  <c r="R21"/>
  <c r="P22"/>
  <c r="R22"/>
  <c r="P23"/>
  <c r="R23"/>
  <c r="P24"/>
  <c r="R24"/>
  <c r="P25"/>
  <c r="R25"/>
  <c r="P26"/>
  <c r="R26"/>
  <c r="P27"/>
  <c r="R27"/>
  <c r="P28"/>
  <c r="R28"/>
  <c r="P29"/>
  <c r="R29"/>
  <c r="P30"/>
  <c r="R30"/>
  <c r="P31"/>
  <c r="R31"/>
  <c r="P32"/>
  <c r="R32"/>
  <c r="P33"/>
  <c r="R33"/>
  <c r="P35"/>
  <c r="R35"/>
  <c r="P36"/>
  <c r="R36"/>
  <c r="P38"/>
  <c r="R38"/>
  <c r="P39"/>
  <c r="R39"/>
  <c r="P59"/>
  <c r="R59"/>
  <c r="P60"/>
  <c r="R60"/>
  <c r="P61"/>
  <c r="R61"/>
  <c r="P62"/>
  <c r="R62"/>
  <c r="P63"/>
  <c r="R63"/>
  <c r="P64"/>
  <c r="R64"/>
  <c r="P66"/>
  <c r="R66"/>
  <c r="P67"/>
  <c r="R67"/>
  <c r="P70"/>
  <c r="R70"/>
  <c r="P71"/>
  <c r="R71"/>
  <c r="P72"/>
  <c r="R72"/>
  <c r="P73"/>
  <c r="R73"/>
  <c r="P75"/>
  <c r="R75"/>
  <c r="P76"/>
  <c r="R76"/>
  <c r="P77"/>
  <c r="R77"/>
  <c r="P78"/>
  <c r="R78"/>
  <c r="P79"/>
  <c r="R79"/>
  <c r="P80"/>
  <c r="R80"/>
  <c r="P82"/>
  <c r="R82"/>
  <c r="P115"/>
  <c r="R115"/>
  <c r="P116"/>
  <c r="R116"/>
  <c r="P117"/>
  <c r="R117"/>
  <c r="P119"/>
  <c r="R119"/>
  <c r="P120"/>
  <c r="R120"/>
  <c r="P122"/>
  <c r="R122"/>
  <c r="P123"/>
  <c r="R123"/>
  <c r="P124"/>
  <c r="R124"/>
  <c r="P125"/>
  <c r="R125"/>
  <c r="P126"/>
  <c r="R126"/>
  <c r="P127"/>
  <c r="R127"/>
  <c r="P128"/>
  <c r="R128"/>
  <c r="P129"/>
  <c r="R129"/>
  <c r="P130"/>
  <c r="R130"/>
  <c r="P131"/>
  <c r="R131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9"/>
  <c r="Q180"/>
  <c r="Q181"/>
  <c r="Q182"/>
  <c r="Q183"/>
  <c r="P159"/>
  <c r="R159"/>
  <c r="P160"/>
  <c r="R160"/>
  <c r="P161"/>
  <c r="R161"/>
  <c r="P162"/>
  <c r="R162"/>
  <c r="P163"/>
  <c r="R163"/>
  <c r="P164"/>
  <c r="R164"/>
  <c r="P165"/>
  <c r="R165"/>
  <c r="P166"/>
  <c r="R166"/>
  <c r="P167"/>
  <c r="R167"/>
  <c r="P168"/>
  <c r="R168"/>
  <c r="P169"/>
  <c r="R169"/>
  <c r="P170"/>
  <c r="R170"/>
  <c r="P171"/>
  <c r="R171"/>
  <c r="P172"/>
  <c r="R172"/>
  <c r="P173"/>
  <c r="R173"/>
  <c r="P174"/>
  <c r="R174"/>
  <c r="P175"/>
  <c r="R175"/>
  <c r="P179"/>
  <c r="R179"/>
  <c r="P180"/>
  <c r="R180"/>
  <c r="P181"/>
  <c r="R181"/>
  <c r="P182"/>
  <c r="R182"/>
  <c r="P183"/>
  <c r="R183"/>
  <c r="C41" i="15"/>
  <c r="D41" l="1"/>
  <c r="I13" i="14"/>
  <c r="J13"/>
  <c r="L11" i="34"/>
  <c r="L10"/>
  <c r="C24" i="47"/>
  <c r="C26" i="14" l="1"/>
  <c r="A26" s="1"/>
  <c r="E26"/>
  <c r="H26"/>
  <c r="C27"/>
  <c r="A27" s="1"/>
  <c r="E27"/>
  <c r="H27"/>
  <c r="C28"/>
  <c r="A28" s="1"/>
  <c r="E28"/>
  <c r="H28"/>
  <c r="C29"/>
  <c r="A29" s="1"/>
  <c r="E29"/>
  <c r="H29"/>
  <c r="C30"/>
  <c r="A30" s="1"/>
  <c r="E30"/>
  <c r="H30"/>
  <c r="B26"/>
  <c r="D26"/>
  <c r="G26"/>
  <c r="B27"/>
  <c r="D27"/>
  <c r="G27"/>
  <c r="B28"/>
  <c r="D28"/>
  <c r="G28"/>
  <c r="B29"/>
  <c r="D29"/>
  <c r="G29"/>
  <c r="B30"/>
  <c r="D30"/>
  <c r="G30"/>
  <c r="D14"/>
  <c r="H14"/>
  <c r="E14"/>
  <c r="G14"/>
  <c r="B14"/>
  <c r="L1" i="39" l="1"/>
  <c r="L3"/>
  <c r="L2"/>
  <c r="M17" l="1"/>
  <c r="H17"/>
  <c r="C11"/>
  <c r="M7"/>
  <c r="L7"/>
  <c r="H4" l="1"/>
  <c r="C16" i="46" l="1"/>
  <c r="C21" i="47" l="1"/>
  <c r="A21" l="1"/>
  <c r="A17"/>
  <c r="C23"/>
  <c r="C18"/>
  <c r="C22"/>
  <c r="B211" i="34"/>
  <c r="B212"/>
  <c r="B210"/>
  <c r="A210" s="1"/>
  <c r="I11"/>
  <c r="I15"/>
  <c r="F20" i="47" s="1"/>
  <c r="I14" i="34"/>
  <c r="G19" i="47" s="1"/>
  <c r="I13" i="34"/>
  <c r="G18" i="47" s="1"/>
  <c r="I12" i="34"/>
  <c r="M212" l="1"/>
  <c r="O212"/>
  <c r="Q212"/>
  <c r="S212"/>
  <c r="U212"/>
  <c r="A212"/>
  <c r="N212"/>
  <c r="P212"/>
  <c r="R212"/>
  <c r="T212"/>
  <c r="X212"/>
  <c r="N211"/>
  <c r="P211"/>
  <c r="R211"/>
  <c r="T211"/>
  <c r="X211"/>
  <c r="M211"/>
  <c r="O211"/>
  <c r="Q211"/>
  <c r="S211"/>
  <c r="U211"/>
  <c r="A211"/>
  <c r="F17" i="47"/>
  <c r="X210" i="34"/>
  <c r="M210"/>
  <c r="O210"/>
  <c r="T210"/>
  <c r="N210"/>
  <c r="S210"/>
  <c r="U210"/>
  <c r="Q210"/>
  <c r="P210"/>
  <c r="R210"/>
  <c r="F16" i="47"/>
  <c r="B15" i="34"/>
  <c r="A15" s="1"/>
  <c r="B213"/>
  <c r="B214"/>
  <c r="B209"/>
  <c r="A209" s="1"/>
  <c r="B200"/>
  <c r="B203"/>
  <c r="B204"/>
  <c r="B205"/>
  <c r="B206"/>
  <c r="A206" s="1"/>
  <c r="B207"/>
  <c r="A207" s="1"/>
  <c r="B208"/>
  <c r="A208" s="1"/>
  <c r="B191"/>
  <c r="B201"/>
  <c r="B202"/>
  <c r="B142"/>
  <c r="B151"/>
  <c r="B155"/>
  <c r="B109"/>
  <c r="B154"/>
  <c r="B152"/>
  <c r="B153"/>
  <c r="B95"/>
  <c r="B94"/>
  <c r="B137"/>
  <c r="B136"/>
  <c r="B135"/>
  <c r="N213" l="1"/>
  <c r="P213"/>
  <c r="R213"/>
  <c r="T213"/>
  <c r="X213"/>
  <c r="M213"/>
  <c r="O213"/>
  <c r="Q213"/>
  <c r="S213"/>
  <c r="U213"/>
  <c r="A213"/>
  <c r="M214"/>
  <c r="O214"/>
  <c r="Q214"/>
  <c r="S214"/>
  <c r="U214"/>
  <c r="A214"/>
  <c r="N214"/>
  <c r="P214"/>
  <c r="R214"/>
  <c r="T214"/>
  <c r="X214"/>
  <c r="F34" i="47"/>
  <c r="X135" i="34"/>
  <c r="A135"/>
  <c r="X137"/>
  <c r="A137"/>
  <c r="X153"/>
  <c r="A153"/>
  <c r="X154"/>
  <c r="A154"/>
  <c r="X155"/>
  <c r="A155"/>
  <c r="X151"/>
  <c r="A151"/>
  <c r="X202"/>
  <c r="A202"/>
  <c r="X206"/>
  <c r="X200"/>
  <c r="A200"/>
  <c r="X136"/>
  <c r="A136"/>
  <c r="X152"/>
  <c r="A152"/>
  <c r="X109"/>
  <c r="A109"/>
  <c r="X142"/>
  <c r="A142"/>
  <c r="X201"/>
  <c r="A201"/>
  <c r="X208"/>
  <c r="X204"/>
  <c r="A204"/>
  <c r="X209"/>
  <c r="X94"/>
  <c r="A94"/>
  <c r="X95"/>
  <c r="A95"/>
  <c r="X191"/>
  <c r="A191"/>
  <c r="X207"/>
  <c r="X205"/>
  <c r="A205"/>
  <c r="X203"/>
  <c r="A203"/>
  <c r="N95"/>
  <c r="S95"/>
  <c r="U95"/>
  <c r="O95"/>
  <c r="T95"/>
  <c r="M95"/>
  <c r="P95"/>
  <c r="Q95"/>
  <c r="R95"/>
  <c r="N207"/>
  <c r="S207"/>
  <c r="U207"/>
  <c r="M207"/>
  <c r="O207"/>
  <c r="T207"/>
  <c r="P207"/>
  <c r="Q207"/>
  <c r="R207"/>
  <c r="N203"/>
  <c r="S203"/>
  <c r="U203"/>
  <c r="M203"/>
  <c r="O203"/>
  <c r="T203"/>
  <c r="P203"/>
  <c r="Q203"/>
  <c r="R203"/>
  <c r="M94"/>
  <c r="O94"/>
  <c r="T94"/>
  <c r="S94"/>
  <c r="N94"/>
  <c r="U94"/>
  <c r="Q94"/>
  <c r="P94"/>
  <c r="R94"/>
  <c r="N191"/>
  <c r="S191"/>
  <c r="U191"/>
  <c r="M191"/>
  <c r="O191"/>
  <c r="T191"/>
  <c r="P191"/>
  <c r="Q191"/>
  <c r="R191"/>
  <c r="N205"/>
  <c r="S205"/>
  <c r="U205"/>
  <c r="M205"/>
  <c r="O205"/>
  <c r="T205"/>
  <c r="P205"/>
  <c r="Q205"/>
  <c r="R205"/>
  <c r="N209"/>
  <c r="S209"/>
  <c r="U209"/>
  <c r="M209"/>
  <c r="O209"/>
  <c r="T209"/>
  <c r="P209"/>
  <c r="Q209"/>
  <c r="R209"/>
  <c r="M135"/>
  <c r="O135"/>
  <c r="T135"/>
  <c r="S135"/>
  <c r="N135"/>
  <c r="U135"/>
  <c r="P135"/>
  <c r="Q135"/>
  <c r="R135"/>
  <c r="N136"/>
  <c r="S136"/>
  <c r="U136"/>
  <c r="O136"/>
  <c r="M136"/>
  <c r="T136"/>
  <c r="Q136"/>
  <c r="P136"/>
  <c r="R136"/>
  <c r="M137"/>
  <c r="O137"/>
  <c r="T137"/>
  <c r="S137"/>
  <c r="N137"/>
  <c r="U137"/>
  <c r="P137"/>
  <c r="Q137"/>
  <c r="R137"/>
  <c r="M153"/>
  <c r="O153"/>
  <c r="T153"/>
  <c r="S153"/>
  <c r="N153"/>
  <c r="U153"/>
  <c r="P153"/>
  <c r="Q153"/>
  <c r="R153"/>
  <c r="N152"/>
  <c r="S152"/>
  <c r="U152"/>
  <c r="O152"/>
  <c r="M152"/>
  <c r="T152"/>
  <c r="Q152"/>
  <c r="P152"/>
  <c r="R152"/>
  <c r="N154"/>
  <c r="O154"/>
  <c r="T154"/>
  <c r="M154"/>
  <c r="S154"/>
  <c r="U154"/>
  <c r="Q154"/>
  <c r="P154"/>
  <c r="R154"/>
  <c r="M109"/>
  <c r="O109"/>
  <c r="T109"/>
  <c r="S109"/>
  <c r="N109"/>
  <c r="U109"/>
  <c r="P109"/>
  <c r="Q109"/>
  <c r="R109"/>
  <c r="N155"/>
  <c r="S155"/>
  <c r="U155"/>
  <c r="M155"/>
  <c r="O155"/>
  <c r="T155"/>
  <c r="P155"/>
  <c r="Q155"/>
  <c r="R155"/>
  <c r="M151"/>
  <c r="O151"/>
  <c r="T151"/>
  <c r="S151"/>
  <c r="N151"/>
  <c r="U151"/>
  <c r="P151"/>
  <c r="Q151"/>
  <c r="R151"/>
  <c r="N142"/>
  <c r="S142"/>
  <c r="U142"/>
  <c r="O142"/>
  <c r="M142"/>
  <c r="T142"/>
  <c r="Q142"/>
  <c r="R142"/>
  <c r="P142"/>
  <c r="M202"/>
  <c r="O202"/>
  <c r="T202"/>
  <c r="N202"/>
  <c r="S202"/>
  <c r="U202"/>
  <c r="Q202"/>
  <c r="P202"/>
  <c r="R202"/>
  <c r="N201"/>
  <c r="S201"/>
  <c r="U201"/>
  <c r="M201"/>
  <c r="O201"/>
  <c r="T201"/>
  <c r="P201"/>
  <c r="Q201"/>
  <c r="R201"/>
  <c r="M208"/>
  <c r="O208"/>
  <c r="T208"/>
  <c r="N208"/>
  <c r="S208"/>
  <c r="U208"/>
  <c r="Q208"/>
  <c r="P208"/>
  <c r="R208"/>
  <c r="M206"/>
  <c r="O206"/>
  <c r="T206"/>
  <c r="N206"/>
  <c r="S206"/>
  <c r="U206"/>
  <c r="Q206"/>
  <c r="P206"/>
  <c r="R206"/>
  <c r="M204"/>
  <c r="O204"/>
  <c r="T204"/>
  <c r="N204"/>
  <c r="S204"/>
  <c r="U204"/>
  <c r="Q204"/>
  <c r="P204"/>
  <c r="R204"/>
  <c r="M200"/>
  <c r="O200"/>
  <c r="T200"/>
  <c r="N200"/>
  <c r="S200"/>
  <c r="U200"/>
  <c r="Q200"/>
  <c r="P200"/>
  <c r="R200"/>
  <c r="N15"/>
  <c r="S15"/>
  <c r="U15"/>
  <c r="O15"/>
  <c r="T15"/>
  <c r="M15"/>
  <c r="P15"/>
  <c r="Q15"/>
  <c r="R15"/>
  <c r="C14" i="14"/>
  <c r="A14" s="1"/>
  <c r="C15"/>
  <c r="A15" s="1"/>
  <c r="E15"/>
  <c r="H15"/>
  <c r="C16"/>
  <c r="A16" s="1"/>
  <c r="E16"/>
  <c r="H16"/>
  <c r="C17"/>
  <c r="A17" s="1"/>
  <c r="E17"/>
  <c r="H17"/>
  <c r="C18"/>
  <c r="A18" s="1"/>
  <c r="E18"/>
  <c r="H18"/>
  <c r="C19"/>
  <c r="A19" s="1"/>
  <c r="E19"/>
  <c r="H19"/>
  <c r="C20"/>
  <c r="A20" s="1"/>
  <c r="E20"/>
  <c r="H20"/>
  <c r="B15"/>
  <c r="D15"/>
  <c r="G15"/>
  <c r="B16"/>
  <c r="D16"/>
  <c r="G16"/>
  <c r="B17"/>
  <c r="D17"/>
  <c r="G17"/>
  <c r="B18"/>
  <c r="D18"/>
  <c r="G18"/>
  <c r="B19"/>
  <c r="D19"/>
  <c r="G19"/>
  <c r="B20"/>
  <c r="D20"/>
  <c r="G20"/>
  <c r="J14" l="1"/>
  <c r="I14"/>
  <c r="I15" l="1"/>
  <c r="J15"/>
  <c r="B12" i="34"/>
  <c r="A12" s="1"/>
  <c r="B10"/>
  <c r="A10" s="1"/>
  <c r="B13"/>
  <c r="A13" s="1"/>
  <c r="B14"/>
  <c r="A14" s="1"/>
  <c r="B42"/>
  <c r="B41"/>
  <c r="B43"/>
  <c r="B44"/>
  <c r="B45"/>
  <c r="B46"/>
  <c r="B47"/>
  <c r="B48"/>
  <c r="B49"/>
  <c r="B50"/>
  <c r="B51"/>
  <c r="B52"/>
  <c r="B53"/>
  <c r="B54"/>
  <c r="B55"/>
  <c r="B56"/>
  <c r="B57"/>
  <c r="B58"/>
  <c r="B83"/>
  <c r="B85"/>
  <c r="B84"/>
  <c r="B92"/>
  <c r="B93"/>
  <c r="B86"/>
  <c r="B87"/>
  <c r="B88"/>
  <c r="B89"/>
  <c r="B90"/>
  <c r="B91"/>
  <c r="B99"/>
  <c r="B101"/>
  <c r="B97"/>
  <c r="B100"/>
  <c r="B102"/>
  <c r="B105"/>
  <c r="B108"/>
  <c r="B104"/>
  <c r="B107"/>
  <c r="B112"/>
  <c r="B111"/>
  <c r="B113"/>
  <c r="B144"/>
  <c r="B132"/>
  <c r="B133"/>
  <c r="B134"/>
  <c r="B143"/>
  <c r="B145"/>
  <c r="B146"/>
  <c r="B147"/>
  <c r="B148"/>
  <c r="B149"/>
  <c r="B150"/>
  <c r="B138"/>
  <c r="B139"/>
  <c r="B140"/>
  <c r="B141"/>
  <c r="B190"/>
  <c r="B188"/>
  <c r="B189"/>
  <c r="B186"/>
  <c r="B187"/>
  <c r="B156"/>
  <c r="B157"/>
  <c r="B158"/>
  <c r="B176"/>
  <c r="B177"/>
  <c r="B178"/>
  <c r="B184"/>
  <c r="B185"/>
  <c r="B192"/>
  <c r="B193"/>
  <c r="B194"/>
  <c r="B195"/>
  <c r="B196"/>
  <c r="B197"/>
  <c r="B198"/>
  <c r="B199"/>
  <c r="B11"/>
  <c r="A11" s="1"/>
  <c r="A5" i="12"/>
  <c r="A6"/>
  <c r="A7"/>
  <c r="A8"/>
  <c r="A9"/>
  <c r="A10"/>
  <c r="A11"/>
  <c r="A13"/>
  <c r="A14"/>
  <c r="A12"/>
  <c r="A4"/>
  <c r="X199" i="34" l="1"/>
  <c r="A199"/>
  <c r="X197"/>
  <c r="A197"/>
  <c r="X195"/>
  <c r="A195"/>
  <c r="X193"/>
  <c r="A193"/>
  <c r="X185"/>
  <c r="A185"/>
  <c r="X178"/>
  <c r="A178"/>
  <c r="X176"/>
  <c r="A176"/>
  <c r="X157"/>
  <c r="A157"/>
  <c r="X187"/>
  <c r="A187"/>
  <c r="X189"/>
  <c r="A189"/>
  <c r="X190"/>
  <c r="A190"/>
  <c r="X140"/>
  <c r="A140"/>
  <c r="X138"/>
  <c r="A138"/>
  <c r="X149"/>
  <c r="A149"/>
  <c r="X147"/>
  <c r="A147"/>
  <c r="X145"/>
  <c r="A145"/>
  <c r="X134"/>
  <c r="A134"/>
  <c r="X132"/>
  <c r="A132"/>
  <c r="X113"/>
  <c r="A113"/>
  <c r="X112"/>
  <c r="A112"/>
  <c r="X104"/>
  <c r="A104"/>
  <c r="X105"/>
  <c r="A105"/>
  <c r="X100"/>
  <c r="A100"/>
  <c r="X101"/>
  <c r="A101"/>
  <c r="X91"/>
  <c r="A91"/>
  <c r="X89"/>
  <c r="A89"/>
  <c r="X87"/>
  <c r="A87"/>
  <c r="X93"/>
  <c r="A93"/>
  <c r="X84"/>
  <c r="A84"/>
  <c r="X83"/>
  <c r="A83"/>
  <c r="X57"/>
  <c r="A57"/>
  <c r="X55"/>
  <c r="A55"/>
  <c r="X53"/>
  <c r="A53"/>
  <c r="X51"/>
  <c r="A51"/>
  <c r="X49"/>
  <c r="A49"/>
  <c r="X47"/>
  <c r="A47"/>
  <c r="X45"/>
  <c r="A45"/>
  <c r="X43"/>
  <c r="A43"/>
  <c r="X42"/>
  <c r="A42"/>
  <c r="X198"/>
  <c r="A198"/>
  <c r="X196"/>
  <c r="A196"/>
  <c r="X194"/>
  <c r="A194"/>
  <c r="X192"/>
  <c r="A192"/>
  <c r="X184"/>
  <c r="A184"/>
  <c r="X177"/>
  <c r="A177"/>
  <c r="X158"/>
  <c r="A158"/>
  <c r="X156"/>
  <c r="A156"/>
  <c r="X186"/>
  <c r="A186"/>
  <c r="X188"/>
  <c r="A188"/>
  <c r="X141"/>
  <c r="A141"/>
  <c r="X139"/>
  <c r="A139"/>
  <c r="X150"/>
  <c r="A150"/>
  <c r="X148"/>
  <c r="A148"/>
  <c r="X146"/>
  <c r="A146"/>
  <c r="X143"/>
  <c r="A143"/>
  <c r="X133"/>
  <c r="A133"/>
  <c r="X144"/>
  <c r="A144"/>
  <c r="X111"/>
  <c r="A111"/>
  <c r="X107"/>
  <c r="A107"/>
  <c r="X108"/>
  <c r="A108"/>
  <c r="X102"/>
  <c r="A102"/>
  <c r="X97"/>
  <c r="A97"/>
  <c r="X99"/>
  <c r="A99"/>
  <c r="X90"/>
  <c r="A90"/>
  <c r="X88"/>
  <c r="A88"/>
  <c r="X86"/>
  <c r="A86"/>
  <c r="X92"/>
  <c r="A92"/>
  <c r="X85"/>
  <c r="A85"/>
  <c r="X58"/>
  <c r="A58"/>
  <c r="X56"/>
  <c r="A56"/>
  <c r="X54"/>
  <c r="A54"/>
  <c r="X52"/>
  <c r="A52"/>
  <c r="X50"/>
  <c r="A50"/>
  <c r="X48"/>
  <c r="A48"/>
  <c r="X46"/>
  <c r="A46"/>
  <c r="X44"/>
  <c r="A44"/>
  <c r="X41"/>
  <c r="A41"/>
  <c r="N199"/>
  <c r="S199"/>
  <c r="U199"/>
  <c r="M199"/>
  <c r="O199"/>
  <c r="T199"/>
  <c r="P199"/>
  <c r="Q199"/>
  <c r="R199"/>
  <c r="N197"/>
  <c r="S197"/>
  <c r="U197"/>
  <c r="M197"/>
  <c r="O197"/>
  <c r="T197"/>
  <c r="P197"/>
  <c r="Q197"/>
  <c r="R197"/>
  <c r="N195"/>
  <c r="S195"/>
  <c r="U195"/>
  <c r="M195"/>
  <c r="O195"/>
  <c r="T195"/>
  <c r="P195"/>
  <c r="Q195"/>
  <c r="R195"/>
  <c r="N193"/>
  <c r="S193"/>
  <c r="U193"/>
  <c r="M193"/>
  <c r="O193"/>
  <c r="T193"/>
  <c r="P193"/>
  <c r="Q193"/>
  <c r="R193"/>
  <c r="N185"/>
  <c r="S185"/>
  <c r="U185"/>
  <c r="M185"/>
  <c r="O185"/>
  <c r="T185"/>
  <c r="P185"/>
  <c r="Q185"/>
  <c r="R185"/>
  <c r="M178"/>
  <c r="O178"/>
  <c r="T178"/>
  <c r="N178"/>
  <c r="S178"/>
  <c r="U178"/>
  <c r="Q178"/>
  <c r="P178"/>
  <c r="R178"/>
  <c r="M176"/>
  <c r="O176"/>
  <c r="T176"/>
  <c r="N176"/>
  <c r="S176"/>
  <c r="U176"/>
  <c r="Q176"/>
  <c r="P176"/>
  <c r="R176"/>
  <c r="N157"/>
  <c r="S157"/>
  <c r="U157"/>
  <c r="M157"/>
  <c r="O157"/>
  <c r="T157"/>
  <c r="P157"/>
  <c r="Q157"/>
  <c r="R157"/>
  <c r="N187"/>
  <c r="S187"/>
  <c r="U187"/>
  <c r="M187"/>
  <c r="O187"/>
  <c r="T187"/>
  <c r="P187"/>
  <c r="Q187"/>
  <c r="R187"/>
  <c r="N189"/>
  <c r="S189"/>
  <c r="U189"/>
  <c r="M189"/>
  <c r="O189"/>
  <c r="T189"/>
  <c r="P189"/>
  <c r="Q189"/>
  <c r="R189"/>
  <c r="M190"/>
  <c r="O190"/>
  <c r="T190"/>
  <c r="N190"/>
  <c r="S190"/>
  <c r="U190"/>
  <c r="Q190"/>
  <c r="P190"/>
  <c r="R190"/>
  <c r="N140"/>
  <c r="S140"/>
  <c r="U140"/>
  <c r="O140"/>
  <c r="M140"/>
  <c r="T140"/>
  <c r="Q140"/>
  <c r="R140"/>
  <c r="P140"/>
  <c r="N138"/>
  <c r="S138"/>
  <c r="U138"/>
  <c r="O138"/>
  <c r="M138"/>
  <c r="T138"/>
  <c r="Q138"/>
  <c r="P138"/>
  <c r="R138"/>
  <c r="M149"/>
  <c r="O149"/>
  <c r="T149"/>
  <c r="S149"/>
  <c r="N149"/>
  <c r="U149"/>
  <c r="Q149"/>
  <c r="P149"/>
  <c r="R149"/>
  <c r="M147"/>
  <c r="O147"/>
  <c r="T147"/>
  <c r="S147"/>
  <c r="N147"/>
  <c r="U147"/>
  <c r="Q147"/>
  <c r="P147"/>
  <c r="R147"/>
  <c r="M145"/>
  <c r="O145"/>
  <c r="T145"/>
  <c r="S145"/>
  <c r="N145"/>
  <c r="U145"/>
  <c r="Q145"/>
  <c r="P145"/>
  <c r="R145"/>
  <c r="N134"/>
  <c r="S134"/>
  <c r="U134"/>
  <c r="O134"/>
  <c r="M134"/>
  <c r="T134"/>
  <c r="Q134"/>
  <c r="P134"/>
  <c r="R134"/>
  <c r="N132"/>
  <c r="S132"/>
  <c r="U132"/>
  <c r="O132"/>
  <c r="M132"/>
  <c r="T132"/>
  <c r="Q132"/>
  <c r="P132"/>
  <c r="R132"/>
  <c r="M113"/>
  <c r="O113"/>
  <c r="T113"/>
  <c r="S113"/>
  <c r="N113"/>
  <c r="U113"/>
  <c r="P113"/>
  <c r="Q113"/>
  <c r="R113"/>
  <c r="N112"/>
  <c r="S112"/>
  <c r="U112"/>
  <c r="O112"/>
  <c r="M112"/>
  <c r="T112"/>
  <c r="Q112"/>
  <c r="P112"/>
  <c r="R112"/>
  <c r="N104"/>
  <c r="S104"/>
  <c r="U104"/>
  <c r="O104"/>
  <c r="M104"/>
  <c r="T104"/>
  <c r="Q104"/>
  <c r="P104"/>
  <c r="R104"/>
  <c r="M105"/>
  <c r="O105"/>
  <c r="T105"/>
  <c r="S105"/>
  <c r="N105"/>
  <c r="U105"/>
  <c r="P105"/>
  <c r="Q105"/>
  <c r="R105"/>
  <c r="N100"/>
  <c r="S100"/>
  <c r="U100"/>
  <c r="O100"/>
  <c r="M100"/>
  <c r="T100"/>
  <c r="Q100"/>
  <c r="P100"/>
  <c r="R100"/>
  <c r="M101"/>
  <c r="O101"/>
  <c r="T101"/>
  <c r="S101"/>
  <c r="N101"/>
  <c r="U101"/>
  <c r="P101"/>
  <c r="Q101"/>
  <c r="R101"/>
  <c r="N91"/>
  <c r="S91"/>
  <c r="U91"/>
  <c r="O91"/>
  <c r="T91"/>
  <c r="M91"/>
  <c r="P91"/>
  <c r="Q91"/>
  <c r="R91"/>
  <c r="N89"/>
  <c r="S89"/>
  <c r="U89"/>
  <c r="O89"/>
  <c r="T89"/>
  <c r="M89"/>
  <c r="P89"/>
  <c r="Q89"/>
  <c r="R89"/>
  <c r="N87"/>
  <c r="S87"/>
  <c r="U87"/>
  <c r="O87"/>
  <c r="T87"/>
  <c r="M87"/>
  <c r="P87"/>
  <c r="Q87"/>
  <c r="R87"/>
  <c r="N93"/>
  <c r="S93"/>
  <c r="U93"/>
  <c r="O93"/>
  <c r="T93"/>
  <c r="M93"/>
  <c r="P93"/>
  <c r="Q93"/>
  <c r="R93"/>
  <c r="M84"/>
  <c r="O84"/>
  <c r="T84"/>
  <c r="S84"/>
  <c r="N84"/>
  <c r="U84"/>
  <c r="Q84"/>
  <c r="P84"/>
  <c r="R84"/>
  <c r="N83"/>
  <c r="S83"/>
  <c r="U83"/>
  <c r="O83"/>
  <c r="T83"/>
  <c r="M83"/>
  <c r="P83"/>
  <c r="Q83"/>
  <c r="R83"/>
  <c r="N57"/>
  <c r="S57"/>
  <c r="U57"/>
  <c r="O57"/>
  <c r="T57"/>
  <c r="M57"/>
  <c r="P57"/>
  <c r="Q57"/>
  <c r="R57"/>
  <c r="N55"/>
  <c r="S55"/>
  <c r="U55"/>
  <c r="O55"/>
  <c r="T55"/>
  <c r="M55"/>
  <c r="P55"/>
  <c r="Q55"/>
  <c r="R55"/>
  <c r="N53"/>
  <c r="S53"/>
  <c r="U53"/>
  <c r="O53"/>
  <c r="T53"/>
  <c r="M53"/>
  <c r="P53"/>
  <c r="Q53"/>
  <c r="R53"/>
  <c r="N51"/>
  <c r="S51"/>
  <c r="U51"/>
  <c r="O51"/>
  <c r="T51"/>
  <c r="M51"/>
  <c r="P51"/>
  <c r="Q51"/>
  <c r="R51"/>
  <c r="N49"/>
  <c r="S49"/>
  <c r="U49"/>
  <c r="O49"/>
  <c r="T49"/>
  <c r="M49"/>
  <c r="P49"/>
  <c r="Q49"/>
  <c r="R49"/>
  <c r="N47"/>
  <c r="S47"/>
  <c r="U47"/>
  <c r="O47"/>
  <c r="T47"/>
  <c r="M47"/>
  <c r="P47"/>
  <c r="Q47"/>
  <c r="R47"/>
  <c r="N45"/>
  <c r="S45"/>
  <c r="U45"/>
  <c r="O45"/>
  <c r="T45"/>
  <c r="M45"/>
  <c r="P45"/>
  <c r="Q45"/>
  <c r="R45"/>
  <c r="N43"/>
  <c r="S43"/>
  <c r="U43"/>
  <c r="O43"/>
  <c r="T43"/>
  <c r="M43"/>
  <c r="P43"/>
  <c r="Q43"/>
  <c r="R43"/>
  <c r="M42"/>
  <c r="O42"/>
  <c r="T42"/>
  <c r="S42"/>
  <c r="N42"/>
  <c r="U42"/>
  <c r="Q42"/>
  <c r="P42"/>
  <c r="R42"/>
  <c r="N13"/>
  <c r="S13"/>
  <c r="U13"/>
  <c r="O13"/>
  <c r="T13"/>
  <c r="M13"/>
  <c r="P13"/>
  <c r="Q13"/>
  <c r="R13"/>
  <c r="M12"/>
  <c r="O12"/>
  <c r="T12"/>
  <c r="S12"/>
  <c r="N12"/>
  <c r="U12"/>
  <c r="Q12"/>
  <c r="P12"/>
  <c r="R12"/>
  <c r="M198"/>
  <c r="O198"/>
  <c r="T198"/>
  <c r="N198"/>
  <c r="S198"/>
  <c r="U198"/>
  <c r="Q198"/>
  <c r="P198"/>
  <c r="R198"/>
  <c r="M196"/>
  <c r="O196"/>
  <c r="T196"/>
  <c r="N196"/>
  <c r="S196"/>
  <c r="U196"/>
  <c r="Q196"/>
  <c r="P196"/>
  <c r="R196"/>
  <c r="M194"/>
  <c r="O194"/>
  <c r="T194"/>
  <c r="N194"/>
  <c r="S194"/>
  <c r="U194"/>
  <c r="Q194"/>
  <c r="P194"/>
  <c r="R194"/>
  <c r="M192"/>
  <c r="O192"/>
  <c r="T192"/>
  <c r="N192"/>
  <c r="S192"/>
  <c r="U192"/>
  <c r="Q192"/>
  <c r="P192"/>
  <c r="R192"/>
  <c r="M184"/>
  <c r="O184"/>
  <c r="T184"/>
  <c r="N184"/>
  <c r="S184"/>
  <c r="U184"/>
  <c r="Q184"/>
  <c r="P184"/>
  <c r="R184"/>
  <c r="N177"/>
  <c r="S177"/>
  <c r="U177"/>
  <c r="M177"/>
  <c r="O177"/>
  <c r="T177"/>
  <c r="P177"/>
  <c r="Q177"/>
  <c r="R177"/>
  <c r="M158"/>
  <c r="O158"/>
  <c r="T158"/>
  <c r="N158"/>
  <c r="S158"/>
  <c r="U158"/>
  <c r="Q158"/>
  <c r="P158"/>
  <c r="R158"/>
  <c r="M156"/>
  <c r="O156"/>
  <c r="T156"/>
  <c r="N156"/>
  <c r="S156"/>
  <c r="U156"/>
  <c r="Q156"/>
  <c r="P156"/>
  <c r="R156"/>
  <c r="M186"/>
  <c r="O186"/>
  <c r="T186"/>
  <c r="N186"/>
  <c r="S186"/>
  <c r="U186"/>
  <c r="Q186"/>
  <c r="P186"/>
  <c r="R186"/>
  <c r="M188"/>
  <c r="O188"/>
  <c r="T188"/>
  <c r="N188"/>
  <c r="S188"/>
  <c r="U188"/>
  <c r="Q188"/>
  <c r="P188"/>
  <c r="R188"/>
  <c r="M141"/>
  <c r="O141"/>
  <c r="T141"/>
  <c r="S141"/>
  <c r="N141"/>
  <c r="U141"/>
  <c r="Q141"/>
  <c r="P141"/>
  <c r="R141"/>
  <c r="M139"/>
  <c r="O139"/>
  <c r="T139"/>
  <c r="S139"/>
  <c r="N139"/>
  <c r="U139"/>
  <c r="P139"/>
  <c r="Q139"/>
  <c r="R139"/>
  <c r="N150"/>
  <c r="S150"/>
  <c r="U150"/>
  <c r="O150"/>
  <c r="M150"/>
  <c r="T150"/>
  <c r="Q150"/>
  <c r="P150"/>
  <c r="R150"/>
  <c r="N148"/>
  <c r="S148"/>
  <c r="U148"/>
  <c r="O148"/>
  <c r="M148"/>
  <c r="T148"/>
  <c r="Q148"/>
  <c r="R148"/>
  <c r="P148"/>
  <c r="N146"/>
  <c r="S146"/>
  <c r="U146"/>
  <c r="O146"/>
  <c r="M146"/>
  <c r="T146"/>
  <c r="Q146"/>
  <c r="R146"/>
  <c r="P146"/>
  <c r="M143"/>
  <c r="O143"/>
  <c r="T143"/>
  <c r="S143"/>
  <c r="N143"/>
  <c r="U143"/>
  <c r="Q143"/>
  <c r="P143"/>
  <c r="R143"/>
  <c r="M133"/>
  <c r="O133"/>
  <c r="T133"/>
  <c r="S133"/>
  <c r="N133"/>
  <c r="U133"/>
  <c r="P133"/>
  <c r="Q133"/>
  <c r="R133"/>
  <c r="N144"/>
  <c r="S144"/>
  <c r="U144"/>
  <c r="O144"/>
  <c r="M144"/>
  <c r="T144"/>
  <c r="Q144"/>
  <c r="R144"/>
  <c r="P144"/>
  <c r="M111"/>
  <c r="O111"/>
  <c r="T111"/>
  <c r="S111"/>
  <c r="N111"/>
  <c r="U111"/>
  <c r="P111"/>
  <c r="Q111"/>
  <c r="R111"/>
  <c r="M107"/>
  <c r="O107"/>
  <c r="T107"/>
  <c r="S107"/>
  <c r="N107"/>
  <c r="U107"/>
  <c r="P107"/>
  <c r="Q107"/>
  <c r="R107"/>
  <c r="N108"/>
  <c r="S108"/>
  <c r="U108"/>
  <c r="O108"/>
  <c r="M108"/>
  <c r="T108"/>
  <c r="Q108"/>
  <c r="P108"/>
  <c r="R108"/>
  <c r="N102"/>
  <c r="S102"/>
  <c r="U102"/>
  <c r="O102"/>
  <c r="M102"/>
  <c r="T102"/>
  <c r="Q102"/>
  <c r="P102"/>
  <c r="R102"/>
  <c r="N97"/>
  <c r="O97"/>
  <c r="T97"/>
  <c r="S97"/>
  <c r="M97"/>
  <c r="U97"/>
  <c r="P97"/>
  <c r="Q97"/>
  <c r="R97"/>
  <c r="M99"/>
  <c r="O99"/>
  <c r="T99"/>
  <c r="S99"/>
  <c r="N99"/>
  <c r="U99"/>
  <c r="P99"/>
  <c r="Q99"/>
  <c r="R99"/>
  <c r="M90"/>
  <c r="O90"/>
  <c r="T90"/>
  <c r="S90"/>
  <c r="N90"/>
  <c r="U90"/>
  <c r="Q90"/>
  <c r="P90"/>
  <c r="R90"/>
  <c r="M88"/>
  <c r="O88"/>
  <c r="T88"/>
  <c r="S88"/>
  <c r="N88"/>
  <c r="U88"/>
  <c r="Q88"/>
  <c r="P88"/>
  <c r="R88"/>
  <c r="M86"/>
  <c r="O86"/>
  <c r="T86"/>
  <c r="S86"/>
  <c r="N86"/>
  <c r="U86"/>
  <c r="Q86"/>
  <c r="P86"/>
  <c r="R86"/>
  <c r="M92"/>
  <c r="O92"/>
  <c r="T92"/>
  <c r="S92"/>
  <c r="N92"/>
  <c r="U92"/>
  <c r="Q92"/>
  <c r="P92"/>
  <c r="R92"/>
  <c r="N85"/>
  <c r="S85"/>
  <c r="U85"/>
  <c r="O85"/>
  <c r="T85"/>
  <c r="M85"/>
  <c r="P85"/>
  <c r="Q85"/>
  <c r="R85"/>
  <c r="M58"/>
  <c r="O58"/>
  <c r="T58"/>
  <c r="S58"/>
  <c r="N58"/>
  <c r="U58"/>
  <c r="Q58"/>
  <c r="P58"/>
  <c r="R58"/>
  <c r="M56"/>
  <c r="O56"/>
  <c r="T56"/>
  <c r="S56"/>
  <c r="N56"/>
  <c r="U56"/>
  <c r="Q56"/>
  <c r="P56"/>
  <c r="R56"/>
  <c r="M54"/>
  <c r="O54"/>
  <c r="T54"/>
  <c r="S54"/>
  <c r="N54"/>
  <c r="U54"/>
  <c r="Q54"/>
  <c r="P54"/>
  <c r="R54"/>
  <c r="M52"/>
  <c r="O52"/>
  <c r="T52"/>
  <c r="S52"/>
  <c r="N52"/>
  <c r="U52"/>
  <c r="Q52"/>
  <c r="P52"/>
  <c r="R52"/>
  <c r="M50"/>
  <c r="O50"/>
  <c r="T50"/>
  <c r="S50"/>
  <c r="N50"/>
  <c r="U50"/>
  <c r="Q50"/>
  <c r="P50"/>
  <c r="R50"/>
  <c r="M48"/>
  <c r="O48"/>
  <c r="T48"/>
  <c r="S48"/>
  <c r="N48"/>
  <c r="U48"/>
  <c r="Q48"/>
  <c r="P48"/>
  <c r="R48"/>
  <c r="M46"/>
  <c r="O46"/>
  <c r="T46"/>
  <c r="S46"/>
  <c r="N46"/>
  <c r="U46"/>
  <c r="Q46"/>
  <c r="P46"/>
  <c r="R46"/>
  <c r="M44"/>
  <c r="O44"/>
  <c r="T44"/>
  <c r="S44"/>
  <c r="N44"/>
  <c r="U44"/>
  <c r="Q44"/>
  <c r="P44"/>
  <c r="R44"/>
  <c r="N41"/>
  <c r="S41"/>
  <c r="U41"/>
  <c r="O41"/>
  <c r="T41"/>
  <c r="M41"/>
  <c r="P41"/>
  <c r="Q41"/>
  <c r="R41"/>
  <c r="M14"/>
  <c r="O14"/>
  <c r="T14"/>
  <c r="S14"/>
  <c r="N14"/>
  <c r="U14"/>
  <c r="Q14"/>
  <c r="P14"/>
  <c r="R14"/>
  <c r="U11"/>
  <c r="S11"/>
  <c r="T11"/>
  <c r="N11"/>
  <c r="O11"/>
  <c r="M11"/>
  <c r="S10"/>
  <c r="T10"/>
  <c r="M10"/>
  <c r="U10"/>
  <c r="O10"/>
  <c r="N10"/>
  <c r="P11"/>
  <c r="R11"/>
  <c r="Q11"/>
  <c r="Q10"/>
  <c r="R10"/>
  <c r="P10"/>
  <c r="I16" i="14"/>
  <c r="J16"/>
  <c r="A15" i="47"/>
  <c r="C19"/>
  <c r="C17"/>
  <c r="C15"/>
  <c r="B118" i="34" l="1"/>
  <c r="B121"/>
  <c r="B65"/>
  <c r="B68"/>
  <c r="B81"/>
  <c r="B69"/>
  <c r="B74"/>
  <c r="B37"/>
  <c r="B34"/>
  <c r="I17" i="14"/>
  <c r="J17"/>
  <c r="B17" i="34"/>
  <c r="B98"/>
  <c r="B106"/>
  <c r="B110"/>
  <c r="B40"/>
  <c r="B96"/>
  <c r="B103"/>
  <c r="B114"/>
  <c r="X40" l="1"/>
  <c r="A40"/>
  <c r="X106"/>
  <c r="A106"/>
  <c r="X114"/>
  <c r="A114"/>
  <c r="X96"/>
  <c r="A96"/>
  <c r="X110"/>
  <c r="A110"/>
  <c r="X98"/>
  <c r="A98"/>
  <c r="X34"/>
  <c r="A34"/>
  <c r="X74"/>
  <c r="A74"/>
  <c r="X81"/>
  <c r="A81"/>
  <c r="X65"/>
  <c r="A65"/>
  <c r="X118"/>
  <c r="A118"/>
  <c r="X103"/>
  <c r="A103"/>
  <c r="X17"/>
  <c r="A17"/>
  <c r="X37"/>
  <c r="A37"/>
  <c r="X69"/>
  <c r="A69"/>
  <c r="X68"/>
  <c r="A68"/>
  <c r="X121"/>
  <c r="A121"/>
  <c r="N114"/>
  <c r="S114"/>
  <c r="U114"/>
  <c r="O114"/>
  <c r="M114"/>
  <c r="T114"/>
  <c r="Q114"/>
  <c r="P114"/>
  <c r="R114"/>
  <c r="M96"/>
  <c r="O96"/>
  <c r="T96"/>
  <c r="S96"/>
  <c r="N96"/>
  <c r="U96"/>
  <c r="Q96"/>
  <c r="P96"/>
  <c r="R96"/>
  <c r="N110"/>
  <c r="S110"/>
  <c r="U110"/>
  <c r="O110"/>
  <c r="M110"/>
  <c r="T110"/>
  <c r="Q110"/>
  <c r="P110"/>
  <c r="R110"/>
  <c r="N98"/>
  <c r="S98"/>
  <c r="U98"/>
  <c r="O98"/>
  <c r="M98"/>
  <c r="T98"/>
  <c r="Q98"/>
  <c r="P98"/>
  <c r="R98"/>
  <c r="M34"/>
  <c r="O34"/>
  <c r="T34"/>
  <c r="S34"/>
  <c r="N34"/>
  <c r="U34"/>
  <c r="Q34"/>
  <c r="P34"/>
  <c r="R34"/>
  <c r="M74"/>
  <c r="O74"/>
  <c r="T74"/>
  <c r="S74"/>
  <c r="N74"/>
  <c r="U74"/>
  <c r="Q74"/>
  <c r="P74"/>
  <c r="R74"/>
  <c r="N81"/>
  <c r="S81"/>
  <c r="U81"/>
  <c r="O81"/>
  <c r="T81"/>
  <c r="M81"/>
  <c r="P81"/>
  <c r="Q81"/>
  <c r="R81"/>
  <c r="N65"/>
  <c r="S65"/>
  <c r="U65"/>
  <c r="O65"/>
  <c r="T65"/>
  <c r="M65"/>
  <c r="P65"/>
  <c r="Q65"/>
  <c r="R65"/>
  <c r="N118"/>
  <c r="S118"/>
  <c r="U118"/>
  <c r="O118"/>
  <c r="M118"/>
  <c r="T118"/>
  <c r="Q118"/>
  <c r="P118"/>
  <c r="R118"/>
  <c r="M103"/>
  <c r="O103"/>
  <c r="T103"/>
  <c r="S103"/>
  <c r="N103"/>
  <c r="U103"/>
  <c r="P103"/>
  <c r="Q103"/>
  <c r="R103"/>
  <c r="M40"/>
  <c r="O40"/>
  <c r="T40"/>
  <c r="S40"/>
  <c r="N40"/>
  <c r="U40"/>
  <c r="Q40"/>
  <c r="P40"/>
  <c r="R40"/>
  <c r="N106"/>
  <c r="S106"/>
  <c r="U106"/>
  <c r="O106"/>
  <c r="M106"/>
  <c r="T106"/>
  <c r="Q106"/>
  <c r="P106"/>
  <c r="R106"/>
  <c r="N17"/>
  <c r="S17"/>
  <c r="U17"/>
  <c r="O17"/>
  <c r="T17"/>
  <c r="M17"/>
  <c r="P17"/>
  <c r="Q17"/>
  <c r="R17"/>
  <c r="N37"/>
  <c r="S37"/>
  <c r="U37"/>
  <c r="O37"/>
  <c r="T37"/>
  <c r="M37"/>
  <c r="P37"/>
  <c r="Q37"/>
  <c r="R37"/>
  <c r="N69"/>
  <c r="S69"/>
  <c r="U69"/>
  <c r="O69"/>
  <c r="T69"/>
  <c r="M69"/>
  <c r="P69"/>
  <c r="Q69"/>
  <c r="R69"/>
  <c r="M68"/>
  <c r="O68"/>
  <c r="T68"/>
  <c r="S68"/>
  <c r="N68"/>
  <c r="U68"/>
  <c r="Q68"/>
  <c r="P68"/>
  <c r="R68"/>
  <c r="M121"/>
  <c r="O121"/>
  <c r="T121"/>
  <c r="S121"/>
  <c r="N121"/>
  <c r="U121"/>
  <c r="P121"/>
  <c r="Q121"/>
  <c r="R121"/>
  <c r="I18" i="14"/>
  <c r="J18"/>
  <c r="G21"/>
  <c r="H23"/>
  <c r="C22"/>
  <c r="A22" s="1"/>
  <c r="G24"/>
  <c r="C21"/>
  <c r="A21" s="1"/>
  <c r="H24"/>
  <c r="B22"/>
  <c r="E24"/>
  <c r="D22"/>
  <c r="B25"/>
  <c r="D23"/>
  <c r="E23"/>
  <c r="B23"/>
  <c r="H25"/>
  <c r="H21"/>
  <c r="C23"/>
  <c r="A23" s="1"/>
  <c r="D24"/>
  <c r="G25"/>
  <c r="D21"/>
  <c r="H22"/>
  <c r="C24"/>
  <c r="A24" s="1"/>
  <c r="E25"/>
  <c r="E21"/>
  <c r="G22"/>
  <c r="B24"/>
  <c r="D25"/>
  <c r="B21"/>
  <c r="E22"/>
  <c r="G23"/>
  <c r="C25"/>
  <c r="A25" s="1"/>
  <c r="C12" i="51" l="1"/>
  <c r="E12"/>
  <c r="G12"/>
  <c r="B13"/>
  <c r="D13"/>
  <c r="F13"/>
  <c r="H13"/>
  <c r="C14"/>
  <c r="E14"/>
  <c r="G14"/>
  <c r="B15"/>
  <c r="D15"/>
  <c r="F15"/>
  <c r="H15"/>
  <c r="C16"/>
  <c r="E16"/>
  <c r="G16"/>
  <c r="B17"/>
  <c r="D17"/>
  <c r="F17"/>
  <c r="H17"/>
  <c r="C18"/>
  <c r="E18"/>
  <c r="G18"/>
  <c r="B19"/>
  <c r="D19"/>
  <c r="F19"/>
  <c r="H19"/>
  <c r="C20"/>
  <c r="E20"/>
  <c r="G20"/>
  <c r="B21"/>
  <c r="D21"/>
  <c r="F21"/>
  <c r="H21"/>
  <c r="C22"/>
  <c r="E22"/>
  <c r="G22"/>
  <c r="B23"/>
  <c r="D23"/>
  <c r="F23"/>
  <c r="H23"/>
  <c r="C24"/>
  <c r="E24"/>
  <c r="G24"/>
  <c r="B25"/>
  <c r="D25"/>
  <c r="F25"/>
  <c r="H25"/>
  <c r="C26"/>
  <c r="E26"/>
  <c r="G26"/>
  <c r="B27"/>
  <c r="D27"/>
  <c r="F27"/>
  <c r="H27"/>
  <c r="C28"/>
  <c r="E28"/>
  <c r="G28"/>
  <c r="B29"/>
  <c r="D29"/>
  <c r="F29"/>
  <c r="H29"/>
  <c r="C30"/>
  <c r="E30"/>
  <c r="G30"/>
  <c r="B31"/>
  <c r="D31"/>
  <c r="F31"/>
  <c r="H31"/>
  <c r="C32"/>
  <c r="E32"/>
  <c r="G32"/>
  <c r="B33"/>
  <c r="D33"/>
  <c r="F33"/>
  <c r="H33"/>
  <c r="C34"/>
  <c r="E34"/>
  <c r="G34"/>
  <c r="B35"/>
  <c r="D35"/>
  <c r="F35"/>
  <c r="H35"/>
  <c r="C36"/>
  <c r="E36"/>
  <c r="G36"/>
  <c r="B37"/>
  <c r="D37"/>
  <c r="F37"/>
  <c r="H37"/>
  <c r="C38"/>
  <c r="E38"/>
  <c r="G38"/>
  <c r="B39"/>
  <c r="D39"/>
  <c r="F39"/>
  <c r="H39"/>
  <c r="C40"/>
  <c r="E40"/>
  <c r="G40"/>
  <c r="B41"/>
  <c r="D41"/>
  <c r="F41"/>
  <c r="H41"/>
  <c r="C42"/>
  <c r="E42"/>
  <c r="G42"/>
  <c r="B43"/>
  <c r="D43"/>
  <c r="F43"/>
  <c r="H43"/>
  <c r="C44"/>
  <c r="E44"/>
  <c r="G44"/>
  <c r="B45"/>
  <c r="D45"/>
  <c r="F45"/>
  <c r="H45"/>
  <c r="C46"/>
  <c r="E46"/>
  <c r="G46"/>
  <c r="B47"/>
  <c r="D47"/>
  <c r="F47"/>
  <c r="H47"/>
  <c r="C48"/>
  <c r="E48"/>
  <c r="G48"/>
  <c r="B49"/>
  <c r="D49"/>
  <c r="F49"/>
  <c r="H49"/>
  <c r="C50"/>
  <c r="E50"/>
  <c r="G50"/>
  <c r="B51"/>
  <c r="D51"/>
  <c r="F51"/>
  <c r="H51"/>
  <c r="C52"/>
  <c r="E52"/>
  <c r="G52"/>
  <c r="B53"/>
  <c r="D53"/>
  <c r="F53"/>
  <c r="H53"/>
  <c r="C54"/>
  <c r="E54"/>
  <c r="G54"/>
  <c r="B55"/>
  <c r="D55"/>
  <c r="F55"/>
  <c r="H55"/>
  <c r="C56"/>
  <c r="E56"/>
  <c r="G56"/>
  <c r="B57"/>
  <c r="D57"/>
  <c r="F57"/>
  <c r="H57"/>
  <c r="C58"/>
  <c r="E58"/>
  <c r="G58"/>
  <c r="B59"/>
  <c r="D59"/>
  <c r="F59"/>
  <c r="H59"/>
  <c r="C60"/>
  <c r="E60"/>
  <c r="G60"/>
  <c r="B61"/>
  <c r="D61"/>
  <c r="F61"/>
  <c r="H61"/>
  <c r="C62"/>
  <c r="E62"/>
  <c r="G62"/>
  <c r="B63"/>
  <c r="D63"/>
  <c r="F63"/>
  <c r="H63"/>
  <c r="C64"/>
  <c r="E64"/>
  <c r="G64"/>
  <c r="B65"/>
  <c r="D65"/>
  <c r="F65"/>
  <c r="H65"/>
  <c r="C66"/>
  <c r="E66"/>
  <c r="G66"/>
  <c r="B67"/>
  <c r="D67"/>
  <c r="F67"/>
  <c r="H67"/>
  <c r="C68"/>
  <c r="E68"/>
  <c r="G68"/>
  <c r="B69"/>
  <c r="D69"/>
  <c r="F69"/>
  <c r="H69"/>
  <c r="C70"/>
  <c r="E70"/>
  <c r="G70"/>
  <c r="B71"/>
  <c r="D71"/>
  <c r="F71"/>
  <c r="H71"/>
  <c r="C12" i="50"/>
  <c r="E12"/>
  <c r="G12"/>
  <c r="B13"/>
  <c r="D13"/>
  <c r="F13"/>
  <c r="H13"/>
  <c r="C14"/>
  <c r="E14"/>
  <c r="G14"/>
  <c r="B15"/>
  <c r="D15"/>
  <c r="F15"/>
  <c r="H15"/>
  <c r="C16"/>
  <c r="E16"/>
  <c r="G16"/>
  <c r="B17"/>
  <c r="D17"/>
  <c r="F17"/>
  <c r="H17"/>
  <c r="C18"/>
  <c r="E18"/>
  <c r="G18"/>
  <c r="B19"/>
  <c r="D19"/>
  <c r="F19"/>
  <c r="H19"/>
  <c r="C20"/>
  <c r="E20"/>
  <c r="G20"/>
  <c r="B21"/>
  <c r="D21"/>
  <c r="F21"/>
  <c r="H21"/>
  <c r="C22"/>
  <c r="E22"/>
  <c r="G22"/>
  <c r="B23"/>
  <c r="D23"/>
  <c r="F23"/>
  <c r="H23"/>
  <c r="C24"/>
  <c r="E24"/>
  <c r="G24"/>
  <c r="B25"/>
  <c r="B12" i="51"/>
  <c r="D12"/>
  <c r="F12"/>
  <c r="H12"/>
  <c r="C13"/>
  <c r="E13"/>
  <c r="G13"/>
  <c r="B14"/>
  <c r="D14"/>
  <c r="F14"/>
  <c r="H14"/>
  <c r="C15"/>
  <c r="E15"/>
  <c r="G15"/>
  <c r="B16"/>
  <c r="D16"/>
  <c r="F16"/>
  <c r="H16"/>
  <c r="C17"/>
  <c r="E17"/>
  <c r="G17"/>
  <c r="B18"/>
  <c r="D18"/>
  <c r="F18"/>
  <c r="H18"/>
  <c r="C19"/>
  <c r="E19"/>
  <c r="G19"/>
  <c r="B20"/>
  <c r="D20"/>
  <c r="F20"/>
  <c r="H20"/>
  <c r="C21"/>
  <c r="E21"/>
  <c r="G21"/>
  <c r="B22"/>
  <c r="D22"/>
  <c r="F22"/>
  <c r="H22"/>
  <c r="C23"/>
  <c r="E23"/>
  <c r="G23"/>
  <c r="B24"/>
  <c r="D24"/>
  <c r="F24"/>
  <c r="H24"/>
  <c r="C25"/>
  <c r="E25"/>
  <c r="G25"/>
  <c r="B26"/>
  <c r="D26"/>
  <c r="F26"/>
  <c r="H26"/>
  <c r="C27"/>
  <c r="E27"/>
  <c r="G27"/>
  <c r="B28"/>
  <c r="D28"/>
  <c r="F28"/>
  <c r="H28"/>
  <c r="C29"/>
  <c r="E29"/>
  <c r="G29"/>
  <c r="B30"/>
  <c r="D30"/>
  <c r="F30"/>
  <c r="H30"/>
  <c r="C31"/>
  <c r="E31"/>
  <c r="G31"/>
  <c r="B32"/>
  <c r="D32"/>
  <c r="F32"/>
  <c r="H32"/>
  <c r="C33"/>
  <c r="E33"/>
  <c r="G33"/>
  <c r="B34"/>
  <c r="D34"/>
  <c r="F34"/>
  <c r="H34"/>
  <c r="C35"/>
  <c r="E35"/>
  <c r="G35"/>
  <c r="B36"/>
  <c r="D36"/>
  <c r="F36"/>
  <c r="H36"/>
  <c r="C37"/>
  <c r="E37"/>
  <c r="G37"/>
  <c r="B38"/>
  <c r="D38"/>
  <c r="F38"/>
  <c r="H38"/>
  <c r="C39"/>
  <c r="E39"/>
  <c r="G39"/>
  <c r="B40"/>
  <c r="D40"/>
  <c r="F40"/>
  <c r="H40"/>
  <c r="C41"/>
  <c r="E41"/>
  <c r="G41"/>
  <c r="B42"/>
  <c r="D42"/>
  <c r="F42"/>
  <c r="H42"/>
  <c r="C43"/>
  <c r="E43"/>
  <c r="G43"/>
  <c r="B44"/>
  <c r="D44"/>
  <c r="F44"/>
  <c r="H44"/>
  <c r="C45"/>
  <c r="E45"/>
  <c r="G45"/>
  <c r="B46"/>
  <c r="D46"/>
  <c r="F46"/>
  <c r="H46"/>
  <c r="C47"/>
  <c r="E47"/>
  <c r="G47"/>
  <c r="B48"/>
  <c r="D48"/>
  <c r="F48"/>
  <c r="H48"/>
  <c r="C49"/>
  <c r="E49"/>
  <c r="G49"/>
  <c r="B50"/>
  <c r="D50"/>
  <c r="F50"/>
  <c r="H50"/>
  <c r="C51"/>
  <c r="E51"/>
  <c r="G51"/>
  <c r="B52"/>
  <c r="D52"/>
  <c r="F52"/>
  <c r="H52"/>
  <c r="C53"/>
  <c r="E53"/>
  <c r="G53"/>
  <c r="B54"/>
  <c r="D54"/>
  <c r="F54"/>
  <c r="H54"/>
  <c r="C55"/>
  <c r="E55"/>
  <c r="G55"/>
  <c r="B56"/>
  <c r="D56"/>
  <c r="F56"/>
  <c r="H56"/>
  <c r="C57"/>
  <c r="E57"/>
  <c r="G57"/>
  <c r="B58"/>
  <c r="D58"/>
  <c r="F58"/>
  <c r="H58"/>
  <c r="C59"/>
  <c r="E59"/>
  <c r="G59"/>
  <c r="B60"/>
  <c r="D60"/>
  <c r="F60"/>
  <c r="H60"/>
  <c r="C61"/>
  <c r="E61"/>
  <c r="G61"/>
  <c r="B62"/>
  <c r="D62"/>
  <c r="F62"/>
  <c r="H62"/>
  <c r="C63"/>
  <c r="E63"/>
  <c r="G63"/>
  <c r="B64"/>
  <c r="D64"/>
  <c r="F64"/>
  <c r="H64"/>
  <c r="C65"/>
  <c r="E65"/>
  <c r="G65"/>
  <c r="B66"/>
  <c r="D66"/>
  <c r="F66"/>
  <c r="H66"/>
  <c r="C67"/>
  <c r="E67"/>
  <c r="G67"/>
  <c r="B68"/>
  <c r="D68"/>
  <c r="F68"/>
  <c r="H68"/>
  <c r="C69"/>
  <c r="E69"/>
  <c r="G69"/>
  <c r="B70"/>
  <c r="D70"/>
  <c r="F70"/>
  <c r="H70"/>
  <c r="C71"/>
  <c r="E71"/>
  <c r="G71"/>
  <c r="B12" i="50"/>
  <c r="D12"/>
  <c r="F12"/>
  <c r="H12"/>
  <c r="C13"/>
  <c r="E13"/>
  <c r="G13"/>
  <c r="B14"/>
  <c r="D14"/>
  <c r="F14"/>
  <c r="H14"/>
  <c r="C15"/>
  <c r="E15"/>
  <c r="G15"/>
  <c r="B16"/>
  <c r="D16"/>
  <c r="F16"/>
  <c r="H16"/>
  <c r="C17"/>
  <c r="E17"/>
  <c r="G17"/>
  <c r="B18"/>
  <c r="D18"/>
  <c r="F18"/>
  <c r="H18"/>
  <c r="C19"/>
  <c r="E19"/>
  <c r="G19"/>
  <c r="B20"/>
  <c r="D20"/>
  <c r="F20"/>
  <c r="H20"/>
  <c r="C21"/>
  <c r="E21"/>
  <c r="G21"/>
  <c r="B22"/>
  <c r="D22"/>
  <c r="F22"/>
  <c r="H22"/>
  <c r="C23"/>
  <c r="E23"/>
  <c r="G23"/>
  <c r="B24"/>
  <c r="D24"/>
  <c r="F24"/>
  <c r="H24"/>
  <c r="D25"/>
  <c r="F25"/>
  <c r="H25"/>
  <c r="C26"/>
  <c r="E26"/>
  <c r="G26"/>
  <c r="B27"/>
  <c r="D27"/>
  <c r="F27"/>
  <c r="H27"/>
  <c r="C28"/>
  <c r="E28"/>
  <c r="G28"/>
  <c r="B29"/>
  <c r="D29"/>
  <c r="F29"/>
  <c r="H29"/>
  <c r="C30"/>
  <c r="E30"/>
  <c r="G30"/>
  <c r="B31"/>
  <c r="D31"/>
  <c r="F31"/>
  <c r="H31"/>
  <c r="C32"/>
  <c r="E32"/>
  <c r="G32"/>
  <c r="B33"/>
  <c r="D33"/>
  <c r="F33"/>
  <c r="H33"/>
  <c r="C34"/>
  <c r="E34"/>
  <c r="G34"/>
  <c r="B35"/>
  <c r="D35"/>
  <c r="F35"/>
  <c r="H35"/>
  <c r="C36"/>
  <c r="E36"/>
  <c r="G36"/>
  <c r="B37"/>
  <c r="D37"/>
  <c r="F37"/>
  <c r="H37"/>
  <c r="C38"/>
  <c r="E38"/>
  <c r="G38"/>
  <c r="B39"/>
  <c r="D39"/>
  <c r="F39"/>
  <c r="H39"/>
  <c r="C40"/>
  <c r="E40"/>
  <c r="G40"/>
  <c r="B41"/>
  <c r="D41"/>
  <c r="F41"/>
  <c r="H41"/>
  <c r="C42"/>
  <c r="E42"/>
  <c r="G42"/>
  <c r="B43"/>
  <c r="D43"/>
  <c r="F43"/>
  <c r="H43"/>
  <c r="C44"/>
  <c r="E44"/>
  <c r="G44"/>
  <c r="B45"/>
  <c r="D45"/>
  <c r="F45"/>
  <c r="H45"/>
  <c r="C46"/>
  <c r="E46"/>
  <c r="G46"/>
  <c r="B47"/>
  <c r="D47"/>
  <c r="F47"/>
  <c r="H47"/>
  <c r="C48"/>
  <c r="E48"/>
  <c r="G48"/>
  <c r="B49"/>
  <c r="D49"/>
  <c r="F49"/>
  <c r="H49"/>
  <c r="C50"/>
  <c r="E50"/>
  <c r="G50"/>
  <c r="B51"/>
  <c r="D51"/>
  <c r="F51"/>
  <c r="H51"/>
  <c r="C52"/>
  <c r="E52"/>
  <c r="G52"/>
  <c r="B53"/>
  <c r="D53"/>
  <c r="F53"/>
  <c r="H53"/>
  <c r="C54"/>
  <c r="E54"/>
  <c r="G54"/>
  <c r="B55"/>
  <c r="D55"/>
  <c r="F55"/>
  <c r="H55"/>
  <c r="C56"/>
  <c r="E56"/>
  <c r="G56"/>
  <c r="B57"/>
  <c r="D57"/>
  <c r="F57"/>
  <c r="H57"/>
  <c r="C58"/>
  <c r="E58"/>
  <c r="G58"/>
  <c r="B59"/>
  <c r="D59"/>
  <c r="F59"/>
  <c r="H59"/>
  <c r="C60"/>
  <c r="E60"/>
  <c r="G60"/>
  <c r="B61"/>
  <c r="D61"/>
  <c r="F61"/>
  <c r="H61"/>
  <c r="C62"/>
  <c r="E62"/>
  <c r="G62"/>
  <c r="B63"/>
  <c r="D63"/>
  <c r="F63"/>
  <c r="H63"/>
  <c r="C64"/>
  <c r="E64"/>
  <c r="G64"/>
  <c r="B65"/>
  <c r="D65"/>
  <c r="F65"/>
  <c r="H65"/>
  <c r="C66"/>
  <c r="E66"/>
  <c r="G66"/>
  <c r="B67"/>
  <c r="D67"/>
  <c r="F67"/>
  <c r="H67"/>
  <c r="C68"/>
  <c r="E68"/>
  <c r="G68"/>
  <c r="B69"/>
  <c r="D69"/>
  <c r="F69"/>
  <c r="H69"/>
  <c r="C70"/>
  <c r="E70"/>
  <c r="G70"/>
  <c r="B71"/>
  <c r="D71"/>
  <c r="F71"/>
  <c r="H71"/>
  <c r="C72"/>
  <c r="E72"/>
  <c r="G72"/>
  <c r="B73"/>
  <c r="D73"/>
  <c r="F73"/>
  <c r="H73"/>
  <c r="C74"/>
  <c r="E74"/>
  <c r="G74"/>
  <c r="B75"/>
  <c r="D75"/>
  <c r="F75"/>
  <c r="H75"/>
  <c r="C12" i="49"/>
  <c r="E12"/>
  <c r="G12"/>
  <c r="B13"/>
  <c r="D13"/>
  <c r="F13"/>
  <c r="H13"/>
  <c r="C14"/>
  <c r="E14"/>
  <c r="G14"/>
  <c r="B15"/>
  <c r="D15"/>
  <c r="F15"/>
  <c r="H15"/>
  <c r="C16"/>
  <c r="E16"/>
  <c r="G16"/>
  <c r="B17"/>
  <c r="D17"/>
  <c r="F17"/>
  <c r="H17"/>
  <c r="C18"/>
  <c r="E18"/>
  <c r="G18"/>
  <c r="B19"/>
  <c r="D19"/>
  <c r="F19"/>
  <c r="H19"/>
  <c r="C20"/>
  <c r="E20"/>
  <c r="G20"/>
  <c r="B21"/>
  <c r="D21"/>
  <c r="F21"/>
  <c r="H21"/>
  <c r="C22"/>
  <c r="E22"/>
  <c r="G22"/>
  <c r="B23"/>
  <c r="D23"/>
  <c r="F23"/>
  <c r="H23"/>
  <c r="C24"/>
  <c r="E24"/>
  <c r="G24"/>
  <c r="B25"/>
  <c r="D25"/>
  <c r="F25"/>
  <c r="H25"/>
  <c r="C26"/>
  <c r="E26"/>
  <c r="G26"/>
  <c r="B27"/>
  <c r="D27"/>
  <c r="F27"/>
  <c r="H27"/>
  <c r="C28"/>
  <c r="E28"/>
  <c r="G28"/>
  <c r="B29"/>
  <c r="D29"/>
  <c r="F29"/>
  <c r="H29"/>
  <c r="C30"/>
  <c r="E30"/>
  <c r="G30"/>
  <c r="B31"/>
  <c r="D31"/>
  <c r="F31"/>
  <c r="H31"/>
  <c r="C32"/>
  <c r="E32"/>
  <c r="G32"/>
  <c r="B33"/>
  <c r="D33"/>
  <c r="F33"/>
  <c r="H33"/>
  <c r="C34"/>
  <c r="E34"/>
  <c r="G34"/>
  <c r="B35"/>
  <c r="D35"/>
  <c r="F35"/>
  <c r="H35"/>
  <c r="C36"/>
  <c r="E36"/>
  <c r="G36"/>
  <c r="B37"/>
  <c r="D37"/>
  <c r="F37"/>
  <c r="H37"/>
  <c r="C53" i="48"/>
  <c r="E53"/>
  <c r="G53"/>
  <c r="B54"/>
  <c r="D54"/>
  <c r="F54"/>
  <c r="H54"/>
  <c r="C55"/>
  <c r="E55"/>
  <c r="G55"/>
  <c r="B39"/>
  <c r="D39"/>
  <c r="F39"/>
  <c r="H39"/>
  <c r="C40"/>
  <c r="E40"/>
  <c r="G40"/>
  <c r="B41"/>
  <c r="D41"/>
  <c r="F41"/>
  <c r="H41"/>
  <c r="C42"/>
  <c r="E42"/>
  <c r="G42"/>
  <c r="B43"/>
  <c r="D43"/>
  <c r="F43"/>
  <c r="H43"/>
  <c r="C44"/>
  <c r="E44"/>
  <c r="G44"/>
  <c r="B45"/>
  <c r="D45"/>
  <c r="F45"/>
  <c r="H45"/>
  <c r="C46"/>
  <c r="E46"/>
  <c r="G46"/>
  <c r="B47"/>
  <c r="D47"/>
  <c r="F47"/>
  <c r="H47"/>
  <c r="C48"/>
  <c r="E48"/>
  <c r="G48"/>
  <c r="B49"/>
  <c r="D49"/>
  <c r="F49"/>
  <c r="H49"/>
  <c r="C50"/>
  <c r="E50"/>
  <c r="G50"/>
  <c r="B51"/>
  <c r="D51"/>
  <c r="F51"/>
  <c r="H51"/>
  <c r="C52"/>
  <c r="E52"/>
  <c r="G52"/>
  <c r="B12"/>
  <c r="D12"/>
  <c r="F12"/>
  <c r="H12"/>
  <c r="C13"/>
  <c r="E13"/>
  <c r="G13"/>
  <c r="B14"/>
  <c r="D14"/>
  <c r="F14"/>
  <c r="H14"/>
  <c r="C15"/>
  <c r="E15"/>
  <c r="G15"/>
  <c r="B16"/>
  <c r="D16"/>
  <c r="F16"/>
  <c r="H16"/>
  <c r="C17"/>
  <c r="E17"/>
  <c r="G17"/>
  <c r="B18"/>
  <c r="D18"/>
  <c r="F18"/>
  <c r="H18"/>
  <c r="C19"/>
  <c r="E19"/>
  <c r="G19"/>
  <c r="B20"/>
  <c r="D20"/>
  <c r="F20"/>
  <c r="H20"/>
  <c r="C21"/>
  <c r="E21"/>
  <c r="G21"/>
  <c r="B22"/>
  <c r="D22"/>
  <c r="F22"/>
  <c r="H22"/>
  <c r="C23"/>
  <c r="E23"/>
  <c r="G23"/>
  <c r="B24"/>
  <c r="D24"/>
  <c r="F24"/>
  <c r="H24"/>
  <c r="C25"/>
  <c r="E25"/>
  <c r="G25"/>
  <c r="B26"/>
  <c r="D26"/>
  <c r="F26"/>
  <c r="H26"/>
  <c r="C27"/>
  <c r="E27"/>
  <c r="G27"/>
  <c r="B28"/>
  <c r="D28"/>
  <c r="F28"/>
  <c r="H28"/>
  <c r="C29"/>
  <c r="E29"/>
  <c r="G29"/>
  <c r="B30"/>
  <c r="D30"/>
  <c r="F30"/>
  <c r="H30"/>
  <c r="C31"/>
  <c r="E31"/>
  <c r="G31"/>
  <c r="B32"/>
  <c r="D32"/>
  <c r="F32"/>
  <c r="H32"/>
  <c r="C33"/>
  <c r="E33"/>
  <c r="G33"/>
  <c r="B34"/>
  <c r="D34"/>
  <c r="F34"/>
  <c r="H34"/>
  <c r="C35"/>
  <c r="E35"/>
  <c r="G35"/>
  <c r="B36"/>
  <c r="D36"/>
  <c r="F36"/>
  <c r="H36"/>
  <c r="C37"/>
  <c r="E37"/>
  <c r="G37"/>
  <c r="B38"/>
  <c r="D38"/>
  <c r="F38"/>
  <c r="H38"/>
  <c r="C25" i="50"/>
  <c r="E25"/>
  <c r="G25"/>
  <c r="B26"/>
  <c r="D26"/>
  <c r="F26"/>
  <c r="H26"/>
  <c r="C27"/>
  <c r="E27"/>
  <c r="G27"/>
  <c r="B28"/>
  <c r="D28"/>
  <c r="F28"/>
  <c r="H28"/>
  <c r="C29"/>
  <c r="E29"/>
  <c r="G29"/>
  <c r="B30"/>
  <c r="D30"/>
  <c r="F30"/>
  <c r="H30"/>
  <c r="C31"/>
  <c r="E31"/>
  <c r="G31"/>
  <c r="B32"/>
  <c r="D32"/>
  <c r="F32"/>
  <c r="H32"/>
  <c r="C33"/>
  <c r="E33"/>
  <c r="G33"/>
  <c r="B34"/>
  <c r="D34"/>
  <c r="F34"/>
  <c r="H34"/>
  <c r="C35"/>
  <c r="E35"/>
  <c r="G35"/>
  <c r="B36"/>
  <c r="D36"/>
  <c r="F36"/>
  <c r="H36"/>
  <c r="C37"/>
  <c r="E37"/>
  <c r="G37"/>
  <c r="B38"/>
  <c r="D38"/>
  <c r="F38"/>
  <c r="H38"/>
  <c r="C39"/>
  <c r="E39"/>
  <c r="G39"/>
  <c r="B40"/>
  <c r="D40"/>
  <c r="F40"/>
  <c r="H40"/>
  <c r="C41"/>
  <c r="E41"/>
  <c r="G41"/>
  <c r="B42"/>
  <c r="D42"/>
  <c r="F42"/>
  <c r="H42"/>
  <c r="C43"/>
  <c r="E43"/>
  <c r="G43"/>
  <c r="B44"/>
  <c r="D44"/>
  <c r="F44"/>
  <c r="H44"/>
  <c r="C45"/>
  <c r="E45"/>
  <c r="G45"/>
  <c r="B46"/>
  <c r="D46"/>
  <c r="F46"/>
  <c r="H46"/>
  <c r="C47"/>
  <c r="E47"/>
  <c r="G47"/>
  <c r="B48"/>
  <c r="D48"/>
  <c r="F48"/>
  <c r="H48"/>
  <c r="C49"/>
  <c r="E49"/>
  <c r="G49"/>
  <c r="B50"/>
  <c r="D50"/>
  <c r="F50"/>
  <c r="H50"/>
  <c r="C51"/>
  <c r="E51"/>
  <c r="G51"/>
  <c r="B52"/>
  <c r="D52"/>
  <c r="F52"/>
  <c r="H52"/>
  <c r="C53"/>
  <c r="E53"/>
  <c r="G53"/>
  <c r="B54"/>
  <c r="D54"/>
  <c r="F54"/>
  <c r="H54"/>
  <c r="C55"/>
  <c r="E55"/>
  <c r="G55"/>
  <c r="B56"/>
  <c r="D56"/>
  <c r="F56"/>
  <c r="H56"/>
  <c r="C57"/>
  <c r="E57"/>
  <c r="G57"/>
  <c r="B58"/>
  <c r="D58"/>
  <c r="F58"/>
  <c r="H58"/>
  <c r="C59"/>
  <c r="E59"/>
  <c r="G59"/>
  <c r="B60"/>
  <c r="D60"/>
  <c r="F60"/>
  <c r="H60"/>
  <c r="C61"/>
  <c r="E61"/>
  <c r="G61"/>
  <c r="B62"/>
  <c r="D62"/>
  <c r="F62"/>
  <c r="H62"/>
  <c r="C63"/>
  <c r="E63"/>
  <c r="G63"/>
  <c r="B64"/>
  <c r="D64"/>
  <c r="F64"/>
  <c r="H64"/>
  <c r="C65"/>
  <c r="E65"/>
  <c r="G65"/>
  <c r="B66"/>
  <c r="D66"/>
  <c r="F66"/>
  <c r="H66"/>
  <c r="C67"/>
  <c r="E67"/>
  <c r="G67"/>
  <c r="B68"/>
  <c r="D68"/>
  <c r="F68"/>
  <c r="H68"/>
  <c r="C69"/>
  <c r="E69"/>
  <c r="G69"/>
  <c r="B70"/>
  <c r="D70"/>
  <c r="F70"/>
  <c r="H70"/>
  <c r="C71"/>
  <c r="E71"/>
  <c r="G71"/>
  <c r="B72"/>
  <c r="D72"/>
  <c r="F72"/>
  <c r="H72"/>
  <c r="C73"/>
  <c r="E73"/>
  <c r="G73"/>
  <c r="B74"/>
  <c r="D74"/>
  <c r="F74"/>
  <c r="H74"/>
  <c r="C75"/>
  <c r="E75"/>
  <c r="G75"/>
  <c r="B12" i="49"/>
  <c r="D12"/>
  <c r="F12"/>
  <c r="H12"/>
  <c r="C13"/>
  <c r="E13"/>
  <c r="G13"/>
  <c r="B14"/>
  <c r="D14"/>
  <c r="F14"/>
  <c r="H14"/>
  <c r="C15"/>
  <c r="E15"/>
  <c r="G15"/>
  <c r="B16"/>
  <c r="D16"/>
  <c r="F16"/>
  <c r="H16"/>
  <c r="C17"/>
  <c r="E17"/>
  <c r="G17"/>
  <c r="B18"/>
  <c r="D18"/>
  <c r="F18"/>
  <c r="H18"/>
  <c r="C19"/>
  <c r="E19"/>
  <c r="G19"/>
  <c r="B20"/>
  <c r="D20"/>
  <c r="F20"/>
  <c r="H20"/>
  <c r="C21"/>
  <c r="E21"/>
  <c r="G21"/>
  <c r="B22"/>
  <c r="D22"/>
  <c r="F22"/>
  <c r="H22"/>
  <c r="C23"/>
  <c r="E23"/>
  <c r="G23"/>
  <c r="B24"/>
  <c r="D24"/>
  <c r="F24"/>
  <c r="H24"/>
  <c r="C25"/>
  <c r="E25"/>
  <c r="G25"/>
  <c r="B26"/>
  <c r="D26"/>
  <c r="F26"/>
  <c r="H26"/>
  <c r="C27"/>
  <c r="E27"/>
  <c r="G27"/>
  <c r="B28"/>
  <c r="D28"/>
  <c r="F28"/>
  <c r="H28"/>
  <c r="C29"/>
  <c r="E29"/>
  <c r="G29"/>
  <c r="B30"/>
  <c r="D30"/>
  <c r="F30"/>
  <c r="H30"/>
  <c r="C31"/>
  <c r="E31"/>
  <c r="G31"/>
  <c r="B32"/>
  <c r="D32"/>
  <c r="F32"/>
  <c r="H32"/>
  <c r="C33"/>
  <c r="E33"/>
  <c r="G33"/>
  <c r="B34"/>
  <c r="D34"/>
  <c r="F34"/>
  <c r="H34"/>
  <c r="C35"/>
  <c r="E35"/>
  <c r="G35"/>
  <c r="B36"/>
  <c r="D36"/>
  <c r="F36"/>
  <c r="H36"/>
  <c r="C37"/>
  <c r="E37"/>
  <c r="G37"/>
  <c r="B53" i="48"/>
  <c r="D53"/>
  <c r="F53"/>
  <c r="H53"/>
  <c r="C54"/>
  <c r="E54"/>
  <c r="G54"/>
  <c r="B55"/>
  <c r="D55"/>
  <c r="F55"/>
  <c r="H55"/>
  <c r="C39"/>
  <c r="E39"/>
  <c r="G39"/>
  <c r="B40"/>
  <c r="D40"/>
  <c r="F40"/>
  <c r="H40"/>
  <c r="C41"/>
  <c r="E41"/>
  <c r="G41"/>
  <c r="B42"/>
  <c r="D42"/>
  <c r="F42"/>
  <c r="H42"/>
  <c r="C43"/>
  <c r="E43"/>
  <c r="G43"/>
  <c r="B44"/>
  <c r="D44"/>
  <c r="F44"/>
  <c r="H44"/>
  <c r="C45"/>
  <c r="E45"/>
  <c r="G45"/>
  <c r="B46"/>
  <c r="D46"/>
  <c r="F46"/>
  <c r="H46"/>
  <c r="C47"/>
  <c r="E47"/>
  <c r="G47"/>
  <c r="B48"/>
  <c r="D48"/>
  <c r="F48"/>
  <c r="H48"/>
  <c r="C49"/>
  <c r="E49"/>
  <c r="G49"/>
  <c r="B50"/>
  <c r="D50"/>
  <c r="F50"/>
  <c r="H50"/>
  <c r="C51"/>
  <c r="E51"/>
  <c r="G51"/>
  <c r="B52"/>
  <c r="D52"/>
  <c r="F52"/>
  <c r="H52"/>
  <c r="C12"/>
  <c r="E12"/>
  <c r="G12"/>
  <c r="B13"/>
  <c r="D13"/>
  <c r="F13"/>
  <c r="H13"/>
  <c r="C14"/>
  <c r="E14"/>
  <c r="G14"/>
  <c r="B15"/>
  <c r="D15"/>
  <c r="F15"/>
  <c r="H15"/>
  <c r="C16"/>
  <c r="E16"/>
  <c r="G16"/>
  <c r="B17"/>
  <c r="D17"/>
  <c r="F17"/>
  <c r="H17"/>
  <c r="C18"/>
  <c r="E18"/>
  <c r="G18"/>
  <c r="B19"/>
  <c r="D19"/>
  <c r="F19"/>
  <c r="H19"/>
  <c r="C20"/>
  <c r="E20"/>
  <c r="G20"/>
  <c r="B21"/>
  <c r="D21"/>
  <c r="F21"/>
  <c r="H21"/>
  <c r="C22"/>
  <c r="E22"/>
  <c r="G22"/>
  <c r="B23"/>
  <c r="D23"/>
  <c r="F23"/>
  <c r="H23"/>
  <c r="C24"/>
  <c r="E24"/>
  <c r="G24"/>
  <c r="B25"/>
  <c r="D25"/>
  <c r="F25"/>
  <c r="H25"/>
  <c r="C26"/>
  <c r="E26"/>
  <c r="G26"/>
  <c r="B27"/>
  <c r="D27"/>
  <c r="F27"/>
  <c r="H27"/>
  <c r="C28"/>
  <c r="E28"/>
  <c r="G28"/>
  <c r="B29"/>
  <c r="D29"/>
  <c r="F29"/>
  <c r="H29"/>
  <c r="C30"/>
  <c r="E30"/>
  <c r="G30"/>
  <c r="B31"/>
  <c r="D31"/>
  <c r="F31"/>
  <c r="H31"/>
  <c r="C32"/>
  <c r="E32"/>
  <c r="G32"/>
  <c r="B33"/>
  <c r="D33"/>
  <c r="F33"/>
  <c r="H33"/>
  <c r="C34"/>
  <c r="E34"/>
  <c r="G34"/>
  <c r="B35"/>
  <c r="D35"/>
  <c r="F35"/>
  <c r="H35"/>
  <c r="C36"/>
  <c r="E36"/>
  <c r="G36"/>
  <c r="B37"/>
  <c r="D37"/>
  <c r="F37"/>
  <c r="H37"/>
  <c r="C38"/>
  <c r="E38"/>
  <c r="G38"/>
  <c r="M8" i="39"/>
  <c r="J19" i="14"/>
  <c r="I19"/>
  <c r="H31"/>
  <c r="G31"/>
  <c r="AU37" i="48" l="1"/>
  <c r="AQ37"/>
  <c r="AM37"/>
  <c r="AI37"/>
  <c r="AE37"/>
  <c r="AA37"/>
  <c r="W37"/>
  <c r="S37"/>
  <c r="O37"/>
  <c r="K37"/>
  <c r="AW37"/>
  <c r="AS37"/>
  <c r="AO37"/>
  <c r="AK37"/>
  <c r="AG37"/>
  <c r="AC37"/>
  <c r="Y37"/>
  <c r="U37"/>
  <c r="Q37"/>
  <c r="M37"/>
  <c r="AT36"/>
  <c r="AP36"/>
  <c r="AL36"/>
  <c r="AH36"/>
  <c r="AD36"/>
  <c r="Z36"/>
  <c r="V36"/>
  <c r="R36"/>
  <c r="N36"/>
  <c r="J36"/>
  <c r="AV36"/>
  <c r="AR36"/>
  <c r="AN36"/>
  <c r="AJ36"/>
  <c r="AF36"/>
  <c r="AB36"/>
  <c r="X36"/>
  <c r="T36"/>
  <c r="P36"/>
  <c r="L36"/>
  <c r="AU25"/>
  <c r="AQ25"/>
  <c r="AM25"/>
  <c r="AI25"/>
  <c r="AE25"/>
  <c r="AA25"/>
  <c r="W25"/>
  <c r="S25"/>
  <c r="O25"/>
  <c r="K25"/>
  <c r="AW25"/>
  <c r="AS25"/>
  <c r="AO25"/>
  <c r="AK25"/>
  <c r="AG25"/>
  <c r="AC25"/>
  <c r="Y25"/>
  <c r="U25"/>
  <c r="Q25"/>
  <c r="M25"/>
  <c r="AT24"/>
  <c r="AP24"/>
  <c r="AL24"/>
  <c r="AH24"/>
  <c r="AD24"/>
  <c r="Z24"/>
  <c r="V24"/>
  <c r="R24"/>
  <c r="N24"/>
  <c r="J24"/>
  <c r="AV24"/>
  <c r="AR24"/>
  <c r="AN24"/>
  <c r="AJ24"/>
  <c r="AF24"/>
  <c r="AB24"/>
  <c r="X24"/>
  <c r="T24"/>
  <c r="P24"/>
  <c r="L24"/>
  <c r="AU17"/>
  <c r="AQ17"/>
  <c r="AM17"/>
  <c r="AI17"/>
  <c r="AE17"/>
  <c r="AA17"/>
  <c r="W17"/>
  <c r="S17"/>
  <c r="O17"/>
  <c r="K17"/>
  <c r="AW17"/>
  <c r="AS17"/>
  <c r="AO17"/>
  <c r="AK17"/>
  <c r="AG17"/>
  <c r="AC17"/>
  <c r="Y17"/>
  <c r="U17"/>
  <c r="Q17"/>
  <c r="M17"/>
  <c r="AU13"/>
  <c r="AQ13"/>
  <c r="AM13"/>
  <c r="AI13"/>
  <c r="AE13"/>
  <c r="AA13"/>
  <c r="W13"/>
  <c r="S13"/>
  <c r="O13"/>
  <c r="K13"/>
  <c r="AW13"/>
  <c r="AS13"/>
  <c r="AO13"/>
  <c r="AK13"/>
  <c r="AG13"/>
  <c r="AC13"/>
  <c r="Y13"/>
  <c r="U13"/>
  <c r="Q13"/>
  <c r="M13"/>
  <c r="AT12"/>
  <c r="AP12"/>
  <c r="AL12"/>
  <c r="AH12"/>
  <c r="AD12"/>
  <c r="Z12"/>
  <c r="V12"/>
  <c r="R12"/>
  <c r="N12"/>
  <c r="J12"/>
  <c r="AV12"/>
  <c r="AR12"/>
  <c r="AN12"/>
  <c r="AJ12"/>
  <c r="AF12"/>
  <c r="AB12"/>
  <c r="X12"/>
  <c r="T12"/>
  <c r="P12"/>
  <c r="L12"/>
  <c r="AU50"/>
  <c r="AQ50"/>
  <c r="AM50"/>
  <c r="AI50"/>
  <c r="AE50"/>
  <c r="AA50"/>
  <c r="W50"/>
  <c r="S50"/>
  <c r="O50"/>
  <c r="K50"/>
  <c r="AW50"/>
  <c r="AS50"/>
  <c r="AO50"/>
  <c r="AK50"/>
  <c r="AG50"/>
  <c r="AC50"/>
  <c r="Y50"/>
  <c r="U50"/>
  <c r="Q50"/>
  <c r="M50"/>
  <c r="AT49"/>
  <c r="AP49"/>
  <c r="AL49"/>
  <c r="AH49"/>
  <c r="AD49"/>
  <c r="Z49"/>
  <c r="V49"/>
  <c r="R49"/>
  <c r="N49"/>
  <c r="J49"/>
  <c r="AV49"/>
  <c r="AR49"/>
  <c r="AN49"/>
  <c r="AJ49"/>
  <c r="AF49"/>
  <c r="AB49"/>
  <c r="X49"/>
  <c r="T49"/>
  <c r="P49"/>
  <c r="L49"/>
  <c r="AU46"/>
  <c r="AQ46"/>
  <c r="AM46"/>
  <c r="AI46"/>
  <c r="AE46"/>
  <c r="AA46"/>
  <c r="W46"/>
  <c r="S46"/>
  <c r="O46"/>
  <c r="K46"/>
  <c r="AW46"/>
  <c r="AS46"/>
  <c r="AO46"/>
  <c r="AK46"/>
  <c r="AG46"/>
  <c r="AC46"/>
  <c r="Y46"/>
  <c r="U46"/>
  <c r="Q46"/>
  <c r="M46"/>
  <c r="AT45"/>
  <c r="AP45"/>
  <c r="AL45"/>
  <c r="AH45"/>
  <c r="AD45"/>
  <c r="Z45"/>
  <c r="V45"/>
  <c r="R45"/>
  <c r="N45"/>
  <c r="J45"/>
  <c r="AV45"/>
  <c r="AR45"/>
  <c r="AN45"/>
  <c r="AJ45"/>
  <c r="AF45"/>
  <c r="AB45"/>
  <c r="X45"/>
  <c r="T45"/>
  <c r="P45"/>
  <c r="L45"/>
  <c r="AU42"/>
  <c r="AQ42"/>
  <c r="AM42"/>
  <c r="AI42"/>
  <c r="AE42"/>
  <c r="AA42"/>
  <c r="W42"/>
  <c r="S42"/>
  <c r="O42"/>
  <c r="K42"/>
  <c r="AW42"/>
  <c r="AS42"/>
  <c r="AO42"/>
  <c r="AK42"/>
  <c r="AG42"/>
  <c r="AC42"/>
  <c r="Y42"/>
  <c r="U42"/>
  <c r="Q42"/>
  <c r="M42"/>
  <c r="AT41"/>
  <c r="AP41"/>
  <c r="AL41"/>
  <c r="AH41"/>
  <c r="AD41"/>
  <c r="Z41"/>
  <c r="V41"/>
  <c r="R41"/>
  <c r="N41"/>
  <c r="J41"/>
  <c r="AV41"/>
  <c r="AR41"/>
  <c r="AN41"/>
  <c r="AJ41"/>
  <c r="AF41"/>
  <c r="AB41"/>
  <c r="X41"/>
  <c r="T41"/>
  <c r="P41"/>
  <c r="L41"/>
  <c r="AU55"/>
  <c r="AQ55"/>
  <c r="AM55"/>
  <c r="AI55"/>
  <c r="AE55"/>
  <c r="AA55"/>
  <c r="W55"/>
  <c r="S55"/>
  <c r="O55"/>
  <c r="K55"/>
  <c r="AW55"/>
  <c r="AS55"/>
  <c r="AO55"/>
  <c r="AK55"/>
  <c r="AG55"/>
  <c r="AC55"/>
  <c r="Y55"/>
  <c r="U55"/>
  <c r="Q55"/>
  <c r="M55"/>
  <c r="AT54"/>
  <c r="AP54"/>
  <c r="AL54"/>
  <c r="AH54"/>
  <c r="AD54"/>
  <c r="Z54"/>
  <c r="V54"/>
  <c r="R54"/>
  <c r="N54"/>
  <c r="J54"/>
  <c r="AV54"/>
  <c r="AR54"/>
  <c r="AN54"/>
  <c r="AJ54"/>
  <c r="AF54"/>
  <c r="AB54"/>
  <c r="X54"/>
  <c r="T54"/>
  <c r="P54"/>
  <c r="L54"/>
  <c r="AU36" i="49"/>
  <c r="AQ36"/>
  <c r="AM36"/>
  <c r="AI36"/>
  <c r="AE36"/>
  <c r="AA36"/>
  <c r="W36"/>
  <c r="S36"/>
  <c r="O36"/>
  <c r="K36"/>
  <c r="AW36"/>
  <c r="AS36"/>
  <c r="AO36"/>
  <c r="AK36"/>
  <c r="AG36"/>
  <c r="AC36"/>
  <c r="Y36"/>
  <c r="U36"/>
  <c r="Q36"/>
  <c r="M36"/>
  <c r="AT35"/>
  <c r="AP35"/>
  <c r="AL35"/>
  <c r="AH35"/>
  <c r="AD35"/>
  <c r="Z35"/>
  <c r="V35"/>
  <c r="R35"/>
  <c r="N35"/>
  <c r="J35"/>
  <c r="AV35"/>
  <c r="AR35"/>
  <c r="AN35"/>
  <c r="AJ35"/>
  <c r="AF35"/>
  <c r="AB35"/>
  <c r="X35"/>
  <c r="T35"/>
  <c r="P35"/>
  <c r="L35"/>
  <c r="AU32"/>
  <c r="AQ32"/>
  <c r="AM32"/>
  <c r="AI32"/>
  <c r="AE32"/>
  <c r="AA32"/>
  <c r="W32"/>
  <c r="S32"/>
  <c r="O32"/>
  <c r="K32"/>
  <c r="AW32"/>
  <c r="AS32"/>
  <c r="AO32"/>
  <c r="AK32"/>
  <c r="AG32"/>
  <c r="AC32"/>
  <c r="Y32"/>
  <c r="U32"/>
  <c r="Q32"/>
  <c r="M32"/>
  <c r="AT31"/>
  <c r="AP31"/>
  <c r="AL31"/>
  <c r="AH31"/>
  <c r="AD31"/>
  <c r="Z31"/>
  <c r="V31"/>
  <c r="R31"/>
  <c r="N31"/>
  <c r="J31"/>
  <c r="AV31"/>
  <c r="AR31"/>
  <c r="AN31"/>
  <c r="AJ31"/>
  <c r="AF31"/>
  <c r="AB31"/>
  <c r="X31"/>
  <c r="T31"/>
  <c r="P31"/>
  <c r="L31"/>
  <c r="AU28"/>
  <c r="AQ28"/>
  <c r="AM28"/>
  <c r="AI28"/>
  <c r="AE28"/>
  <c r="AA28"/>
  <c r="W28"/>
  <c r="S28"/>
  <c r="O28"/>
  <c r="K28"/>
  <c r="AW28"/>
  <c r="AS28"/>
  <c r="AO28"/>
  <c r="AK28"/>
  <c r="AG28"/>
  <c r="AC28"/>
  <c r="Y28"/>
  <c r="U28"/>
  <c r="Q28"/>
  <c r="M28"/>
  <c r="AT27"/>
  <c r="AP27"/>
  <c r="AL27"/>
  <c r="AH27"/>
  <c r="AD27"/>
  <c r="Z27"/>
  <c r="V27"/>
  <c r="R27"/>
  <c r="N27"/>
  <c r="J27"/>
  <c r="AV27"/>
  <c r="AR27"/>
  <c r="AN27"/>
  <c r="AJ27"/>
  <c r="AF27"/>
  <c r="AB27"/>
  <c r="X27"/>
  <c r="T27"/>
  <c r="P27"/>
  <c r="L27"/>
  <c r="AU24"/>
  <c r="AQ24"/>
  <c r="AM24"/>
  <c r="AI24"/>
  <c r="AE24"/>
  <c r="AA24"/>
  <c r="W24"/>
  <c r="S24"/>
  <c r="O24"/>
  <c r="K24"/>
  <c r="AW24"/>
  <c r="AS24"/>
  <c r="AO24"/>
  <c r="AK24"/>
  <c r="AG24"/>
  <c r="AC24"/>
  <c r="Y24"/>
  <c r="U24"/>
  <c r="Q24"/>
  <c r="M24"/>
  <c r="AT23"/>
  <c r="AP23"/>
  <c r="AL23"/>
  <c r="AH23"/>
  <c r="AD23"/>
  <c r="Z23"/>
  <c r="V23"/>
  <c r="R23"/>
  <c r="N23"/>
  <c r="J23"/>
  <c r="AV23"/>
  <c r="AR23"/>
  <c r="AN23"/>
  <c r="AJ23"/>
  <c r="AF23"/>
  <c r="AB23"/>
  <c r="X23"/>
  <c r="T23"/>
  <c r="P23"/>
  <c r="L23"/>
  <c r="AU20"/>
  <c r="AQ20"/>
  <c r="AM20"/>
  <c r="AI20"/>
  <c r="AE20"/>
  <c r="AA20"/>
  <c r="W20"/>
  <c r="S20"/>
  <c r="O20"/>
  <c r="K20"/>
  <c r="AW20"/>
  <c r="AS20"/>
  <c r="AO20"/>
  <c r="AK20"/>
  <c r="AG20"/>
  <c r="AC20"/>
  <c r="Y20"/>
  <c r="U20"/>
  <c r="Q20"/>
  <c r="M20"/>
  <c r="AT19"/>
  <c r="AP19"/>
  <c r="AL19"/>
  <c r="AH19"/>
  <c r="AD19"/>
  <c r="Z19"/>
  <c r="V19"/>
  <c r="R19"/>
  <c r="N19"/>
  <c r="J19"/>
  <c r="AV19"/>
  <c r="AR19"/>
  <c r="AN19"/>
  <c r="AJ19"/>
  <c r="AF19"/>
  <c r="AB19"/>
  <c r="X19"/>
  <c r="T19"/>
  <c r="P19"/>
  <c r="L19"/>
  <c r="AU16"/>
  <c r="AQ16"/>
  <c r="AM16"/>
  <c r="AI16"/>
  <c r="AE16"/>
  <c r="AA16"/>
  <c r="W16"/>
  <c r="S16"/>
  <c r="O16"/>
  <c r="K16"/>
  <c r="AW16"/>
  <c r="AS16"/>
  <c r="AO16"/>
  <c r="AK16"/>
  <c r="AG16"/>
  <c r="AC16"/>
  <c r="Y16"/>
  <c r="U16"/>
  <c r="Q16"/>
  <c r="M16"/>
  <c r="AT15"/>
  <c r="AP15"/>
  <c r="AL15"/>
  <c r="AH15"/>
  <c r="AD15"/>
  <c r="Z15"/>
  <c r="V15"/>
  <c r="R15"/>
  <c r="N15"/>
  <c r="J15"/>
  <c r="AV15"/>
  <c r="AR15"/>
  <c r="AN15"/>
  <c r="AJ15"/>
  <c r="AF15"/>
  <c r="AB15"/>
  <c r="X15"/>
  <c r="T15"/>
  <c r="P15"/>
  <c r="L15"/>
  <c r="AU12"/>
  <c r="AQ12"/>
  <c r="AM12"/>
  <c r="AI12"/>
  <c r="AE12"/>
  <c r="AA12"/>
  <c r="W12"/>
  <c r="S12"/>
  <c r="O12"/>
  <c r="K12"/>
  <c r="AW12"/>
  <c r="AS12"/>
  <c r="AO12"/>
  <c r="AK12"/>
  <c r="AG12"/>
  <c r="AC12"/>
  <c r="Y12"/>
  <c r="U12"/>
  <c r="Q12"/>
  <c r="M12"/>
  <c r="AT75" i="50"/>
  <c r="AP75"/>
  <c r="AL75"/>
  <c r="AH75"/>
  <c r="AD75"/>
  <c r="Z75"/>
  <c r="V75"/>
  <c r="R75"/>
  <c r="N75"/>
  <c r="J75"/>
  <c r="AV75"/>
  <c r="AR75"/>
  <c r="AN75"/>
  <c r="AJ75"/>
  <c r="AF75"/>
  <c r="AB75"/>
  <c r="X75"/>
  <c r="T75"/>
  <c r="P75"/>
  <c r="L75"/>
  <c r="AU72"/>
  <c r="AQ72"/>
  <c r="AM72"/>
  <c r="AI72"/>
  <c r="AE72"/>
  <c r="AA72"/>
  <c r="W72"/>
  <c r="S72"/>
  <c r="O72"/>
  <c r="K72"/>
  <c r="AW72"/>
  <c r="AS72"/>
  <c r="AO72"/>
  <c r="AK72"/>
  <c r="AG72"/>
  <c r="AC72"/>
  <c r="Y72"/>
  <c r="U72"/>
  <c r="Q72"/>
  <c r="M72"/>
  <c r="AT71"/>
  <c r="AP71"/>
  <c r="AL71"/>
  <c r="AH71"/>
  <c r="AD71"/>
  <c r="Z71"/>
  <c r="V71"/>
  <c r="R71"/>
  <c r="N71"/>
  <c r="J71"/>
  <c r="AV71"/>
  <c r="AR71"/>
  <c r="AN71"/>
  <c r="AJ71"/>
  <c r="AF71"/>
  <c r="AB71"/>
  <c r="X71"/>
  <c r="T71"/>
  <c r="P71"/>
  <c r="L71"/>
  <c r="AU68"/>
  <c r="AQ68"/>
  <c r="AM68"/>
  <c r="AI68"/>
  <c r="AE68"/>
  <c r="AA68"/>
  <c r="W68"/>
  <c r="S68"/>
  <c r="O68"/>
  <c r="K68"/>
  <c r="AW68"/>
  <c r="AS68"/>
  <c r="AO68"/>
  <c r="AK68"/>
  <c r="AG68"/>
  <c r="AC68"/>
  <c r="Y68"/>
  <c r="U68"/>
  <c r="Q68"/>
  <c r="M68"/>
  <c r="AT67"/>
  <c r="AP67"/>
  <c r="AL67"/>
  <c r="AH67"/>
  <c r="AD67"/>
  <c r="Z67"/>
  <c r="V67"/>
  <c r="R67"/>
  <c r="N67"/>
  <c r="J67"/>
  <c r="AV67"/>
  <c r="AR67"/>
  <c r="AN67"/>
  <c r="AJ67"/>
  <c r="AF67"/>
  <c r="AB67"/>
  <c r="X67"/>
  <c r="T67"/>
  <c r="P67"/>
  <c r="L67"/>
  <c r="AU64"/>
  <c r="AQ64"/>
  <c r="AM64"/>
  <c r="AI64"/>
  <c r="AE64"/>
  <c r="AA64"/>
  <c r="W64"/>
  <c r="S64"/>
  <c r="O64"/>
  <c r="K64"/>
  <c r="AW64"/>
  <c r="AS64"/>
  <c r="AO64"/>
  <c r="AK64"/>
  <c r="AG64"/>
  <c r="AC64"/>
  <c r="Y64"/>
  <c r="U64"/>
  <c r="Q64"/>
  <c r="M64"/>
  <c r="AT63"/>
  <c r="AP63"/>
  <c r="AL63"/>
  <c r="AH63"/>
  <c r="AD63"/>
  <c r="Z63"/>
  <c r="V63"/>
  <c r="R63"/>
  <c r="N63"/>
  <c r="J63"/>
  <c r="AV63"/>
  <c r="AR63"/>
  <c r="AN63"/>
  <c r="AJ63"/>
  <c r="AF63"/>
  <c r="AB63"/>
  <c r="X63"/>
  <c r="T63"/>
  <c r="P63"/>
  <c r="L63"/>
  <c r="AU60"/>
  <c r="AQ60"/>
  <c r="AM60"/>
  <c r="AI60"/>
  <c r="AE60"/>
  <c r="AA60"/>
  <c r="W60"/>
  <c r="S60"/>
  <c r="O60"/>
  <c r="K60"/>
  <c r="AW60"/>
  <c r="AS60"/>
  <c r="AO60"/>
  <c r="AK60"/>
  <c r="AG60"/>
  <c r="AC60"/>
  <c r="Y60"/>
  <c r="U60"/>
  <c r="Q60"/>
  <c r="M60"/>
  <c r="AT59"/>
  <c r="AP59"/>
  <c r="AL59"/>
  <c r="AH59"/>
  <c r="AD59"/>
  <c r="Z59"/>
  <c r="V59"/>
  <c r="R59"/>
  <c r="N59"/>
  <c r="J59"/>
  <c r="AV59"/>
  <c r="AR59"/>
  <c r="AN59"/>
  <c r="AJ59"/>
  <c r="AF59"/>
  <c r="AB59"/>
  <c r="X59"/>
  <c r="T59"/>
  <c r="P59"/>
  <c r="L59"/>
  <c r="AU56"/>
  <c r="AQ56"/>
  <c r="AM56"/>
  <c r="AI56"/>
  <c r="AE56"/>
  <c r="AA56"/>
  <c r="W56"/>
  <c r="S56"/>
  <c r="O56"/>
  <c r="K56"/>
  <c r="AW56"/>
  <c r="AS56"/>
  <c r="AO56"/>
  <c r="AK56"/>
  <c r="AG56"/>
  <c r="AC56"/>
  <c r="Y56"/>
  <c r="U56"/>
  <c r="Q56"/>
  <c r="M56"/>
  <c r="AT55"/>
  <c r="AP55"/>
  <c r="AL55"/>
  <c r="AH55"/>
  <c r="AD55"/>
  <c r="Z55"/>
  <c r="V55"/>
  <c r="R55"/>
  <c r="N55"/>
  <c r="J55"/>
  <c r="AV55"/>
  <c r="AR55"/>
  <c r="AN55"/>
  <c r="AJ55"/>
  <c r="AF55"/>
  <c r="AB55"/>
  <c r="X55"/>
  <c r="T55"/>
  <c r="P55"/>
  <c r="L55"/>
  <c r="AU52"/>
  <c r="AQ52"/>
  <c r="AM52"/>
  <c r="AI52"/>
  <c r="AE52"/>
  <c r="AA52"/>
  <c r="W52"/>
  <c r="S52"/>
  <c r="O52"/>
  <c r="K52"/>
  <c r="AW52"/>
  <c r="AS52"/>
  <c r="AO52"/>
  <c r="AK52"/>
  <c r="AG52"/>
  <c r="AC52"/>
  <c r="Y52"/>
  <c r="U52"/>
  <c r="Q52"/>
  <c r="M52"/>
  <c r="AT51"/>
  <c r="AP51"/>
  <c r="AL51"/>
  <c r="AH51"/>
  <c r="AD51"/>
  <c r="Z51"/>
  <c r="V51"/>
  <c r="R51"/>
  <c r="N51"/>
  <c r="J51"/>
  <c r="AV51"/>
  <c r="AR51"/>
  <c r="AN51"/>
  <c r="AJ51"/>
  <c r="AF51"/>
  <c r="AB51"/>
  <c r="X51"/>
  <c r="T51"/>
  <c r="P51"/>
  <c r="L51"/>
  <c r="AU48"/>
  <c r="AQ48"/>
  <c r="AM48"/>
  <c r="AI48"/>
  <c r="AE48"/>
  <c r="AA48"/>
  <c r="W48"/>
  <c r="S48"/>
  <c r="O48"/>
  <c r="K48"/>
  <c r="AW48"/>
  <c r="AS48"/>
  <c r="AO48"/>
  <c r="AK48"/>
  <c r="AG48"/>
  <c r="AC48"/>
  <c r="Y48"/>
  <c r="U48"/>
  <c r="Q48"/>
  <c r="M48"/>
  <c r="AT47"/>
  <c r="AP47"/>
  <c r="AL47"/>
  <c r="AH47"/>
  <c r="AD47"/>
  <c r="Z47"/>
  <c r="V47"/>
  <c r="R47"/>
  <c r="N47"/>
  <c r="J47"/>
  <c r="AV47"/>
  <c r="AR47"/>
  <c r="AN47"/>
  <c r="AJ47"/>
  <c r="AF47"/>
  <c r="AB47"/>
  <c r="X47"/>
  <c r="T47"/>
  <c r="P47"/>
  <c r="L47"/>
  <c r="AU44"/>
  <c r="AQ44"/>
  <c r="AM44"/>
  <c r="AI44"/>
  <c r="AE44"/>
  <c r="AA44"/>
  <c r="W44"/>
  <c r="S44"/>
  <c r="O44"/>
  <c r="K44"/>
  <c r="AW44"/>
  <c r="AS44"/>
  <c r="AO44"/>
  <c r="AK44"/>
  <c r="AG44"/>
  <c r="AC44"/>
  <c r="Y44"/>
  <c r="U44"/>
  <c r="Q44"/>
  <c r="M44"/>
  <c r="AT43"/>
  <c r="AP43"/>
  <c r="AL43"/>
  <c r="AH43"/>
  <c r="AD43"/>
  <c r="Z43"/>
  <c r="V43"/>
  <c r="R43"/>
  <c r="N43"/>
  <c r="J43"/>
  <c r="AV43"/>
  <c r="AR43"/>
  <c r="AN43"/>
  <c r="AJ43"/>
  <c r="AF43"/>
  <c r="AB43"/>
  <c r="X43"/>
  <c r="T43"/>
  <c r="P43"/>
  <c r="L43"/>
  <c r="AU40"/>
  <c r="AQ40"/>
  <c r="AM40"/>
  <c r="AI40"/>
  <c r="AE40"/>
  <c r="AA40"/>
  <c r="W40"/>
  <c r="S40"/>
  <c r="O40"/>
  <c r="K40"/>
  <c r="AW40"/>
  <c r="AS40"/>
  <c r="AO40"/>
  <c r="AK40"/>
  <c r="AG40"/>
  <c r="AC40"/>
  <c r="Y40"/>
  <c r="U40"/>
  <c r="Q40"/>
  <c r="M40"/>
  <c r="AT39"/>
  <c r="AP39"/>
  <c r="AL39"/>
  <c r="AH39"/>
  <c r="AD39"/>
  <c r="Z39"/>
  <c r="V39"/>
  <c r="R39"/>
  <c r="N39"/>
  <c r="J39"/>
  <c r="AV39"/>
  <c r="AR39"/>
  <c r="AN39"/>
  <c r="AJ39"/>
  <c r="AF39"/>
  <c r="AB39"/>
  <c r="X39"/>
  <c r="T39"/>
  <c r="P39"/>
  <c r="L39"/>
  <c r="AU36"/>
  <c r="AQ36"/>
  <c r="AM36"/>
  <c r="AI36"/>
  <c r="AE36"/>
  <c r="AA36"/>
  <c r="W36"/>
  <c r="S36"/>
  <c r="O36"/>
  <c r="K36"/>
  <c r="AW36"/>
  <c r="AS36"/>
  <c r="AO36"/>
  <c r="AK36"/>
  <c r="AG36"/>
  <c r="AC36"/>
  <c r="Y36"/>
  <c r="U36"/>
  <c r="Q36"/>
  <c r="M36"/>
  <c r="AT35"/>
  <c r="AP35"/>
  <c r="AL35"/>
  <c r="AH35"/>
  <c r="AD35"/>
  <c r="Z35"/>
  <c r="V35"/>
  <c r="R35"/>
  <c r="N35"/>
  <c r="J35"/>
  <c r="AV35"/>
  <c r="AR35"/>
  <c r="AN35"/>
  <c r="AJ35"/>
  <c r="AF35"/>
  <c r="AB35"/>
  <c r="X35"/>
  <c r="T35"/>
  <c r="P35"/>
  <c r="L35"/>
  <c r="AU32"/>
  <c r="AQ32"/>
  <c r="AM32"/>
  <c r="AI32"/>
  <c r="AE32"/>
  <c r="AA32"/>
  <c r="W32"/>
  <c r="S32"/>
  <c r="O32"/>
  <c r="K32"/>
  <c r="AW32"/>
  <c r="AS32"/>
  <c r="AO32"/>
  <c r="AK32"/>
  <c r="AG32"/>
  <c r="AC32"/>
  <c r="Y32"/>
  <c r="U32"/>
  <c r="Q32"/>
  <c r="M32"/>
  <c r="AT31"/>
  <c r="AP31"/>
  <c r="AL31"/>
  <c r="AH31"/>
  <c r="AD31"/>
  <c r="Z31"/>
  <c r="V31"/>
  <c r="R31"/>
  <c r="N31"/>
  <c r="J31"/>
  <c r="AV31"/>
  <c r="AR31"/>
  <c r="AN31"/>
  <c r="AJ31"/>
  <c r="AF31"/>
  <c r="AB31"/>
  <c r="X31"/>
  <c r="T31"/>
  <c r="P31"/>
  <c r="L31"/>
  <c r="AU28"/>
  <c r="AQ28"/>
  <c r="AM28"/>
  <c r="AI28"/>
  <c r="AE28"/>
  <c r="AA28"/>
  <c r="W28"/>
  <c r="S28"/>
  <c r="O28"/>
  <c r="K28"/>
  <c r="AW28"/>
  <c r="AS28"/>
  <c r="AO28"/>
  <c r="AK28"/>
  <c r="AG28"/>
  <c r="AC28"/>
  <c r="Y28"/>
  <c r="U28"/>
  <c r="Q28"/>
  <c r="M28"/>
  <c r="AT27"/>
  <c r="AP27"/>
  <c r="AL27"/>
  <c r="AH27"/>
  <c r="AD27"/>
  <c r="Z27"/>
  <c r="V27"/>
  <c r="R27"/>
  <c r="N27"/>
  <c r="J27"/>
  <c r="AV27"/>
  <c r="AR27"/>
  <c r="AN27"/>
  <c r="AJ27"/>
  <c r="AF27"/>
  <c r="AB27"/>
  <c r="X27"/>
  <c r="T27"/>
  <c r="P27"/>
  <c r="L27"/>
  <c r="AU38" i="48"/>
  <c r="AQ38"/>
  <c r="AM38"/>
  <c r="AI38"/>
  <c r="AE38"/>
  <c r="AA38"/>
  <c r="W38"/>
  <c r="S38"/>
  <c r="O38"/>
  <c r="K38"/>
  <c r="AW38"/>
  <c r="AS38"/>
  <c r="AO38"/>
  <c r="AK38"/>
  <c r="AG38"/>
  <c r="AC38"/>
  <c r="Y38"/>
  <c r="U38"/>
  <c r="Q38"/>
  <c r="M38"/>
  <c r="AT37"/>
  <c r="AP37"/>
  <c r="AL37"/>
  <c r="AH37"/>
  <c r="AD37"/>
  <c r="Z37"/>
  <c r="V37"/>
  <c r="R37"/>
  <c r="N37"/>
  <c r="J37"/>
  <c r="AV37"/>
  <c r="AR37"/>
  <c r="AN37"/>
  <c r="AJ37"/>
  <c r="AF37"/>
  <c r="AB37"/>
  <c r="X37"/>
  <c r="T37"/>
  <c r="P37"/>
  <c r="L37"/>
  <c r="AU34"/>
  <c r="AQ34"/>
  <c r="AM34"/>
  <c r="AI34"/>
  <c r="AE34"/>
  <c r="AA34"/>
  <c r="W34"/>
  <c r="S34"/>
  <c r="O34"/>
  <c r="K34"/>
  <c r="AW34"/>
  <c r="AS34"/>
  <c r="AO34"/>
  <c r="AK34"/>
  <c r="AG34"/>
  <c r="AC34"/>
  <c r="Y34"/>
  <c r="U34"/>
  <c r="Q34"/>
  <c r="M34"/>
  <c r="AT33"/>
  <c r="AP33"/>
  <c r="AL33"/>
  <c r="AH33"/>
  <c r="AD33"/>
  <c r="Z33"/>
  <c r="V33"/>
  <c r="R33"/>
  <c r="N33"/>
  <c r="J33"/>
  <c r="AV33"/>
  <c r="AR33"/>
  <c r="AN33"/>
  <c r="AJ33"/>
  <c r="AF33"/>
  <c r="AB33"/>
  <c r="X33"/>
  <c r="T33"/>
  <c r="P33"/>
  <c r="L33"/>
  <c r="AU30"/>
  <c r="AQ30"/>
  <c r="AM30"/>
  <c r="AI30"/>
  <c r="AE30"/>
  <c r="AA30"/>
  <c r="W30"/>
  <c r="S30"/>
  <c r="O30"/>
  <c r="K30"/>
  <c r="AW30"/>
  <c r="AS30"/>
  <c r="AO30"/>
  <c r="AK30"/>
  <c r="AG30"/>
  <c r="AC30"/>
  <c r="Y30"/>
  <c r="U30"/>
  <c r="Q30"/>
  <c r="M30"/>
  <c r="AT29"/>
  <c r="AP29"/>
  <c r="AL29"/>
  <c r="AH29"/>
  <c r="AD29"/>
  <c r="Z29"/>
  <c r="V29"/>
  <c r="R29"/>
  <c r="N29"/>
  <c r="J29"/>
  <c r="AV29"/>
  <c r="AR29"/>
  <c r="AN29"/>
  <c r="AJ29"/>
  <c r="AF29"/>
  <c r="AB29"/>
  <c r="X29"/>
  <c r="T29"/>
  <c r="P29"/>
  <c r="L29"/>
  <c r="AU26"/>
  <c r="AQ26"/>
  <c r="AM26"/>
  <c r="AI26"/>
  <c r="AE26"/>
  <c r="AA26"/>
  <c r="W26"/>
  <c r="S26"/>
  <c r="O26"/>
  <c r="K26"/>
  <c r="AW26"/>
  <c r="AS26"/>
  <c r="AO26"/>
  <c r="AK26"/>
  <c r="AG26"/>
  <c r="AC26"/>
  <c r="Y26"/>
  <c r="U26"/>
  <c r="Q26"/>
  <c r="M26"/>
  <c r="AT25"/>
  <c r="AP25"/>
  <c r="AL25"/>
  <c r="AH25"/>
  <c r="AD25"/>
  <c r="Z25"/>
  <c r="V25"/>
  <c r="R25"/>
  <c r="N25"/>
  <c r="J25"/>
  <c r="AV25"/>
  <c r="AR25"/>
  <c r="AN25"/>
  <c r="AJ25"/>
  <c r="AF25"/>
  <c r="AB25"/>
  <c r="X25"/>
  <c r="T25"/>
  <c r="P25"/>
  <c r="L25"/>
  <c r="AU22"/>
  <c r="AQ22"/>
  <c r="AM22"/>
  <c r="AI22"/>
  <c r="AE22"/>
  <c r="AA22"/>
  <c r="W22"/>
  <c r="S22"/>
  <c r="O22"/>
  <c r="K22"/>
  <c r="AW22"/>
  <c r="AS22"/>
  <c r="AO22"/>
  <c r="AK22"/>
  <c r="AG22"/>
  <c r="AC22"/>
  <c r="Y22"/>
  <c r="U22"/>
  <c r="Q22"/>
  <c r="M22"/>
  <c r="AT21"/>
  <c r="AP21"/>
  <c r="AL21"/>
  <c r="AH21"/>
  <c r="AD21"/>
  <c r="Z21"/>
  <c r="V21"/>
  <c r="R21"/>
  <c r="N21"/>
  <c r="J21"/>
  <c r="AV21"/>
  <c r="AR21"/>
  <c r="AN21"/>
  <c r="AJ21"/>
  <c r="AF21"/>
  <c r="AB21"/>
  <c r="X21"/>
  <c r="T21"/>
  <c r="P21"/>
  <c r="L21"/>
  <c r="AU18"/>
  <c r="AQ18"/>
  <c r="AM18"/>
  <c r="AI18"/>
  <c r="AE18"/>
  <c r="AA18"/>
  <c r="W18"/>
  <c r="S18"/>
  <c r="O18"/>
  <c r="K18"/>
  <c r="AW18"/>
  <c r="AS18"/>
  <c r="AO18"/>
  <c r="AK18"/>
  <c r="AG18"/>
  <c r="AC18"/>
  <c r="Y18"/>
  <c r="U18"/>
  <c r="Q18"/>
  <c r="M18"/>
  <c r="AT17"/>
  <c r="AP17"/>
  <c r="AL17"/>
  <c r="AH17"/>
  <c r="AD17"/>
  <c r="Z17"/>
  <c r="V17"/>
  <c r="R17"/>
  <c r="N17"/>
  <c r="J17"/>
  <c r="AV17"/>
  <c r="AR17"/>
  <c r="AN17"/>
  <c r="AJ17"/>
  <c r="AF17"/>
  <c r="AB17"/>
  <c r="X17"/>
  <c r="T17"/>
  <c r="P17"/>
  <c r="L17"/>
  <c r="AU14"/>
  <c r="AQ14"/>
  <c r="AM14"/>
  <c r="AI14"/>
  <c r="AE14"/>
  <c r="AA14"/>
  <c r="W14"/>
  <c r="S14"/>
  <c r="O14"/>
  <c r="K14"/>
  <c r="AW14"/>
  <c r="AS14"/>
  <c r="AO14"/>
  <c r="AK14"/>
  <c r="AG14"/>
  <c r="AC14"/>
  <c r="Y14"/>
  <c r="U14"/>
  <c r="Q14"/>
  <c r="M14"/>
  <c r="AT13"/>
  <c r="AP13"/>
  <c r="AL13"/>
  <c r="AH13"/>
  <c r="AD13"/>
  <c r="Z13"/>
  <c r="V13"/>
  <c r="R13"/>
  <c r="N13"/>
  <c r="J13"/>
  <c r="AV13"/>
  <c r="AR13"/>
  <c r="AN13"/>
  <c r="AJ13"/>
  <c r="AF13"/>
  <c r="AB13"/>
  <c r="X13"/>
  <c r="T13"/>
  <c r="P13"/>
  <c r="L13"/>
  <c r="AU51"/>
  <c r="AQ51"/>
  <c r="AM51"/>
  <c r="AI51"/>
  <c r="AE51"/>
  <c r="AA51"/>
  <c r="W51"/>
  <c r="S51"/>
  <c r="O51"/>
  <c r="K51"/>
  <c r="AW51"/>
  <c r="AS51"/>
  <c r="AO51"/>
  <c r="AK51"/>
  <c r="AG51"/>
  <c r="AC51"/>
  <c r="Y51"/>
  <c r="U51"/>
  <c r="Q51"/>
  <c r="M51"/>
  <c r="AT50"/>
  <c r="AP50"/>
  <c r="AL50"/>
  <c r="AH50"/>
  <c r="AD50"/>
  <c r="Z50"/>
  <c r="V50"/>
  <c r="R50"/>
  <c r="N50"/>
  <c r="J50"/>
  <c r="AV50"/>
  <c r="AR50"/>
  <c r="AN50"/>
  <c r="AJ50"/>
  <c r="AF50"/>
  <c r="AB50"/>
  <c r="X50"/>
  <c r="T50"/>
  <c r="P50"/>
  <c r="L50"/>
  <c r="AU47"/>
  <c r="AQ47"/>
  <c r="AM47"/>
  <c r="AI47"/>
  <c r="AE47"/>
  <c r="AA47"/>
  <c r="W47"/>
  <c r="S47"/>
  <c r="O47"/>
  <c r="K47"/>
  <c r="AW47"/>
  <c r="AS47"/>
  <c r="AO47"/>
  <c r="AK47"/>
  <c r="AG47"/>
  <c r="AC47"/>
  <c r="Y47"/>
  <c r="U47"/>
  <c r="Q47"/>
  <c r="M47"/>
  <c r="AT46"/>
  <c r="AP46"/>
  <c r="AL46"/>
  <c r="AH46"/>
  <c r="AD46"/>
  <c r="Z46"/>
  <c r="V46"/>
  <c r="R46"/>
  <c r="N46"/>
  <c r="J46"/>
  <c r="AV46"/>
  <c r="AR46"/>
  <c r="AN46"/>
  <c r="AJ46"/>
  <c r="AF46"/>
  <c r="AB46"/>
  <c r="X46"/>
  <c r="T46"/>
  <c r="P46"/>
  <c r="L46"/>
  <c r="AU43"/>
  <c r="AQ43"/>
  <c r="AM43"/>
  <c r="AI43"/>
  <c r="AE43"/>
  <c r="AA43"/>
  <c r="W43"/>
  <c r="S43"/>
  <c r="O43"/>
  <c r="K43"/>
  <c r="AW43"/>
  <c r="AS43"/>
  <c r="AO43"/>
  <c r="AK43"/>
  <c r="AG43"/>
  <c r="AC43"/>
  <c r="Y43"/>
  <c r="U43"/>
  <c r="Q43"/>
  <c r="M43"/>
  <c r="AT42"/>
  <c r="AP42"/>
  <c r="AL42"/>
  <c r="AH42"/>
  <c r="AD42"/>
  <c r="Z42"/>
  <c r="V42"/>
  <c r="R42"/>
  <c r="N42"/>
  <c r="J42"/>
  <c r="AV42"/>
  <c r="AR42"/>
  <c r="AN42"/>
  <c r="AJ42"/>
  <c r="AF42"/>
  <c r="AB42"/>
  <c r="X42"/>
  <c r="T42"/>
  <c r="P42"/>
  <c r="L42"/>
  <c r="AU39"/>
  <c r="AQ39"/>
  <c r="AM39"/>
  <c r="AI39"/>
  <c r="AE39"/>
  <c r="AA39"/>
  <c r="W39"/>
  <c r="S39"/>
  <c r="O39"/>
  <c r="K39"/>
  <c r="AW39"/>
  <c r="AS39"/>
  <c r="AO39"/>
  <c r="AK39"/>
  <c r="AG39"/>
  <c r="AC39"/>
  <c r="Y39"/>
  <c r="U39"/>
  <c r="Q39"/>
  <c r="M39"/>
  <c r="AT55"/>
  <c r="AP55"/>
  <c r="AL55"/>
  <c r="AH55"/>
  <c r="AD55"/>
  <c r="Z55"/>
  <c r="V55"/>
  <c r="R55"/>
  <c r="N55"/>
  <c r="J55"/>
  <c r="AV55"/>
  <c r="AR55"/>
  <c r="AN55"/>
  <c r="AJ55"/>
  <c r="AF55"/>
  <c r="AB55"/>
  <c r="X55"/>
  <c r="T55"/>
  <c r="P55"/>
  <c r="L55"/>
  <c r="AU37" i="49"/>
  <c r="AQ37"/>
  <c r="AM37"/>
  <c r="AI37"/>
  <c r="AE37"/>
  <c r="AA37"/>
  <c r="W37"/>
  <c r="S37"/>
  <c r="O37"/>
  <c r="K37"/>
  <c r="AW37"/>
  <c r="AS37"/>
  <c r="AO37"/>
  <c r="AK37"/>
  <c r="AG37"/>
  <c r="AC37"/>
  <c r="Y37"/>
  <c r="U37"/>
  <c r="Q37"/>
  <c r="M37"/>
  <c r="AT36"/>
  <c r="AP36"/>
  <c r="AL36"/>
  <c r="AH36"/>
  <c r="AD36"/>
  <c r="Z36"/>
  <c r="V36"/>
  <c r="R36"/>
  <c r="N36"/>
  <c r="J36"/>
  <c r="AV36"/>
  <c r="AR36"/>
  <c r="AN36"/>
  <c r="AJ36"/>
  <c r="AF36"/>
  <c r="AB36"/>
  <c r="X36"/>
  <c r="T36"/>
  <c r="P36"/>
  <c r="L36"/>
  <c r="AU33"/>
  <c r="AQ33"/>
  <c r="AM33"/>
  <c r="AI33"/>
  <c r="AE33"/>
  <c r="AA33"/>
  <c r="W33"/>
  <c r="S33"/>
  <c r="O33"/>
  <c r="K33"/>
  <c r="AW33"/>
  <c r="AS33"/>
  <c r="AO33"/>
  <c r="AK33"/>
  <c r="AG33"/>
  <c r="AC33"/>
  <c r="Y33"/>
  <c r="U33"/>
  <c r="Q33"/>
  <c r="M33"/>
  <c r="AT32"/>
  <c r="AP32"/>
  <c r="AL32"/>
  <c r="AH32"/>
  <c r="AD32"/>
  <c r="Z32"/>
  <c r="V32"/>
  <c r="R32"/>
  <c r="N32"/>
  <c r="J32"/>
  <c r="AV32"/>
  <c r="AR32"/>
  <c r="AN32"/>
  <c r="AJ32"/>
  <c r="AF32"/>
  <c r="AB32"/>
  <c r="X32"/>
  <c r="T32"/>
  <c r="P32"/>
  <c r="L32"/>
  <c r="AU29"/>
  <c r="AQ29"/>
  <c r="AM29"/>
  <c r="AI29"/>
  <c r="AE29"/>
  <c r="AA29"/>
  <c r="W29"/>
  <c r="S29"/>
  <c r="O29"/>
  <c r="K29"/>
  <c r="AW29"/>
  <c r="AS29"/>
  <c r="AO29"/>
  <c r="AK29"/>
  <c r="AG29"/>
  <c r="AC29"/>
  <c r="Y29"/>
  <c r="U29"/>
  <c r="Q29"/>
  <c r="M29"/>
  <c r="AT28"/>
  <c r="AP28"/>
  <c r="AL28"/>
  <c r="AH28"/>
  <c r="AD28"/>
  <c r="Z28"/>
  <c r="V28"/>
  <c r="R28"/>
  <c r="N28"/>
  <c r="J28"/>
  <c r="AV28"/>
  <c r="AR28"/>
  <c r="AN28"/>
  <c r="AJ28"/>
  <c r="AF28"/>
  <c r="AB28"/>
  <c r="X28"/>
  <c r="T28"/>
  <c r="P28"/>
  <c r="L28"/>
  <c r="AU25"/>
  <c r="AQ25"/>
  <c r="AM25"/>
  <c r="AI25"/>
  <c r="AE25"/>
  <c r="AA25"/>
  <c r="W25"/>
  <c r="S25"/>
  <c r="O25"/>
  <c r="K25"/>
  <c r="AW25"/>
  <c r="AS25"/>
  <c r="AO25"/>
  <c r="AK25"/>
  <c r="AG25"/>
  <c r="AC25"/>
  <c r="Y25"/>
  <c r="U25"/>
  <c r="Q25"/>
  <c r="M25"/>
  <c r="AT24"/>
  <c r="AP24"/>
  <c r="AL24"/>
  <c r="AH24"/>
  <c r="AD24"/>
  <c r="Z24"/>
  <c r="V24"/>
  <c r="R24"/>
  <c r="N24"/>
  <c r="J24"/>
  <c r="AV24"/>
  <c r="AR24"/>
  <c r="AN24"/>
  <c r="AJ24"/>
  <c r="AF24"/>
  <c r="AB24"/>
  <c r="X24"/>
  <c r="T24"/>
  <c r="P24"/>
  <c r="L24"/>
  <c r="AU21"/>
  <c r="AQ21"/>
  <c r="AM21"/>
  <c r="AI21"/>
  <c r="AE21"/>
  <c r="AA21"/>
  <c r="W21"/>
  <c r="S21"/>
  <c r="O21"/>
  <c r="K21"/>
  <c r="AW21"/>
  <c r="AS21"/>
  <c r="AO21"/>
  <c r="AK21"/>
  <c r="AG21"/>
  <c r="AC21"/>
  <c r="Y21"/>
  <c r="U21"/>
  <c r="Q21"/>
  <c r="M21"/>
  <c r="AT20"/>
  <c r="AP20"/>
  <c r="AL20"/>
  <c r="AH20"/>
  <c r="AD20"/>
  <c r="Z20"/>
  <c r="V20"/>
  <c r="R20"/>
  <c r="N20"/>
  <c r="J20"/>
  <c r="AV20"/>
  <c r="AR20"/>
  <c r="AN20"/>
  <c r="AJ20"/>
  <c r="AF20"/>
  <c r="AB20"/>
  <c r="X20"/>
  <c r="T20"/>
  <c r="P20"/>
  <c r="L20"/>
  <c r="AU17"/>
  <c r="AQ17"/>
  <c r="AM17"/>
  <c r="AI17"/>
  <c r="AE17"/>
  <c r="AA17"/>
  <c r="W17"/>
  <c r="S17"/>
  <c r="O17"/>
  <c r="K17"/>
  <c r="AW17"/>
  <c r="AS17"/>
  <c r="AO17"/>
  <c r="AK17"/>
  <c r="AG17"/>
  <c r="AC17"/>
  <c r="Y17"/>
  <c r="U17"/>
  <c r="Q17"/>
  <c r="M17"/>
  <c r="AT16"/>
  <c r="AP16"/>
  <c r="AL16"/>
  <c r="AH16"/>
  <c r="AD16"/>
  <c r="Z16"/>
  <c r="V16"/>
  <c r="R16"/>
  <c r="N16"/>
  <c r="J16"/>
  <c r="AV16"/>
  <c r="AR16"/>
  <c r="AN16"/>
  <c r="AJ16"/>
  <c r="AF16"/>
  <c r="AB16"/>
  <c r="X16"/>
  <c r="T16"/>
  <c r="P16"/>
  <c r="L16"/>
  <c r="AU13"/>
  <c r="AQ13"/>
  <c r="AM13"/>
  <c r="AI13"/>
  <c r="AE13"/>
  <c r="AA13"/>
  <c r="W13"/>
  <c r="S13"/>
  <c r="O13"/>
  <c r="K13"/>
  <c r="AW13"/>
  <c r="AS13"/>
  <c r="AO13"/>
  <c r="AK13"/>
  <c r="AG13"/>
  <c r="AC13"/>
  <c r="Y13"/>
  <c r="U13"/>
  <c r="Q13"/>
  <c r="M13"/>
  <c r="AT12"/>
  <c r="AP12"/>
  <c r="AL12"/>
  <c r="AH12"/>
  <c r="AD12"/>
  <c r="Z12"/>
  <c r="V12"/>
  <c r="R12"/>
  <c r="N12"/>
  <c r="J12"/>
  <c r="AV12"/>
  <c r="AR12"/>
  <c r="AN12"/>
  <c r="AJ12"/>
  <c r="AF12"/>
  <c r="AB12"/>
  <c r="X12"/>
  <c r="T12"/>
  <c r="P12"/>
  <c r="L12"/>
  <c r="AU73" i="50"/>
  <c r="AQ73"/>
  <c r="AM73"/>
  <c r="AI73"/>
  <c r="AE73"/>
  <c r="AA73"/>
  <c r="W73"/>
  <c r="S73"/>
  <c r="O73"/>
  <c r="K73"/>
  <c r="AW73"/>
  <c r="AS73"/>
  <c r="AO73"/>
  <c r="AK73"/>
  <c r="AG73"/>
  <c r="AC73"/>
  <c r="Y73"/>
  <c r="U73"/>
  <c r="Q73"/>
  <c r="M73"/>
  <c r="AT72"/>
  <c r="AP72"/>
  <c r="AL72"/>
  <c r="AH72"/>
  <c r="AD72"/>
  <c r="Z72"/>
  <c r="V72"/>
  <c r="R72"/>
  <c r="N72"/>
  <c r="J72"/>
  <c r="AV72"/>
  <c r="AR72"/>
  <c r="AN72"/>
  <c r="AJ72"/>
  <c r="AF72"/>
  <c r="AB72"/>
  <c r="X72"/>
  <c r="T72"/>
  <c r="P72"/>
  <c r="L72"/>
  <c r="AU69"/>
  <c r="AQ69"/>
  <c r="AM69"/>
  <c r="AI69"/>
  <c r="AE69"/>
  <c r="AA69"/>
  <c r="W69"/>
  <c r="S69"/>
  <c r="O69"/>
  <c r="K69"/>
  <c r="AW69"/>
  <c r="AS69"/>
  <c r="AO69"/>
  <c r="AK69"/>
  <c r="AG69"/>
  <c r="AC69"/>
  <c r="Y69"/>
  <c r="U69"/>
  <c r="Q69"/>
  <c r="M69"/>
  <c r="AT68"/>
  <c r="AP68"/>
  <c r="AL68"/>
  <c r="AH68"/>
  <c r="AD68"/>
  <c r="Z68"/>
  <c r="V68"/>
  <c r="R68"/>
  <c r="N68"/>
  <c r="J68"/>
  <c r="AV68"/>
  <c r="AR68"/>
  <c r="AN68"/>
  <c r="AJ68"/>
  <c r="AF68"/>
  <c r="AB68"/>
  <c r="X68"/>
  <c r="T68"/>
  <c r="P68"/>
  <c r="L68"/>
  <c r="AU65"/>
  <c r="AQ65"/>
  <c r="AM65"/>
  <c r="AI65"/>
  <c r="AE65"/>
  <c r="AA65"/>
  <c r="W65"/>
  <c r="S65"/>
  <c r="O65"/>
  <c r="K65"/>
  <c r="AW65"/>
  <c r="AS65"/>
  <c r="AO65"/>
  <c r="AK65"/>
  <c r="AG65"/>
  <c r="AC65"/>
  <c r="Y65"/>
  <c r="U65"/>
  <c r="Q65"/>
  <c r="M65"/>
  <c r="AT64"/>
  <c r="AP64"/>
  <c r="AL64"/>
  <c r="AH64"/>
  <c r="AD64"/>
  <c r="Z64"/>
  <c r="V64"/>
  <c r="R64"/>
  <c r="N64"/>
  <c r="J64"/>
  <c r="AV64"/>
  <c r="AR64"/>
  <c r="AN64"/>
  <c r="AJ64"/>
  <c r="AF64"/>
  <c r="AB64"/>
  <c r="X64"/>
  <c r="T64"/>
  <c r="P64"/>
  <c r="L64"/>
  <c r="AU61"/>
  <c r="AQ61"/>
  <c r="AM61"/>
  <c r="AI61"/>
  <c r="AE61"/>
  <c r="AA61"/>
  <c r="W61"/>
  <c r="S61"/>
  <c r="O61"/>
  <c r="K61"/>
  <c r="AW61"/>
  <c r="AS61"/>
  <c r="AO61"/>
  <c r="AK61"/>
  <c r="AG61"/>
  <c r="AC61"/>
  <c r="Y61"/>
  <c r="U61"/>
  <c r="Q61"/>
  <c r="M61"/>
  <c r="AT60"/>
  <c r="AP60"/>
  <c r="AL60"/>
  <c r="AH60"/>
  <c r="AD60"/>
  <c r="Z60"/>
  <c r="V60"/>
  <c r="R60"/>
  <c r="N60"/>
  <c r="J60"/>
  <c r="AV60"/>
  <c r="AR60"/>
  <c r="AN60"/>
  <c r="AJ60"/>
  <c r="AF60"/>
  <c r="AB60"/>
  <c r="X60"/>
  <c r="T60"/>
  <c r="P60"/>
  <c r="L60"/>
  <c r="AU57"/>
  <c r="AQ57"/>
  <c r="AM57"/>
  <c r="AI57"/>
  <c r="AE57"/>
  <c r="AA57"/>
  <c r="W57"/>
  <c r="S57"/>
  <c r="O57"/>
  <c r="K57"/>
  <c r="AW57"/>
  <c r="AS57"/>
  <c r="AO57"/>
  <c r="AK57"/>
  <c r="AG57"/>
  <c r="AC57"/>
  <c r="Y57"/>
  <c r="U57"/>
  <c r="Q57"/>
  <c r="M57"/>
  <c r="AT56"/>
  <c r="AP56"/>
  <c r="AL56"/>
  <c r="AH56"/>
  <c r="AD56"/>
  <c r="Z56"/>
  <c r="V56"/>
  <c r="R56"/>
  <c r="N56"/>
  <c r="J56"/>
  <c r="AV56"/>
  <c r="AR56"/>
  <c r="AN56"/>
  <c r="AJ56"/>
  <c r="AF56"/>
  <c r="AB56"/>
  <c r="X56"/>
  <c r="T56"/>
  <c r="P56"/>
  <c r="L56"/>
  <c r="AU53"/>
  <c r="AQ53"/>
  <c r="AM53"/>
  <c r="AI53"/>
  <c r="AE53"/>
  <c r="AA53"/>
  <c r="W53"/>
  <c r="S53"/>
  <c r="O53"/>
  <c r="K53"/>
  <c r="AW53"/>
  <c r="AS53"/>
  <c r="AO53"/>
  <c r="AK53"/>
  <c r="AG53"/>
  <c r="AC53"/>
  <c r="Y53"/>
  <c r="U53"/>
  <c r="Q53"/>
  <c r="M53"/>
  <c r="AT52"/>
  <c r="AP52"/>
  <c r="AL52"/>
  <c r="AH52"/>
  <c r="AD52"/>
  <c r="Z52"/>
  <c r="V52"/>
  <c r="R52"/>
  <c r="N52"/>
  <c r="J52"/>
  <c r="AV52"/>
  <c r="AR52"/>
  <c r="AN52"/>
  <c r="AJ52"/>
  <c r="AF52"/>
  <c r="AB52"/>
  <c r="X52"/>
  <c r="T52"/>
  <c r="P52"/>
  <c r="L52"/>
  <c r="AU49"/>
  <c r="AQ49"/>
  <c r="AM49"/>
  <c r="AI49"/>
  <c r="AE49"/>
  <c r="AA49"/>
  <c r="W49"/>
  <c r="S49"/>
  <c r="O49"/>
  <c r="K49"/>
  <c r="AW49"/>
  <c r="AS49"/>
  <c r="AO49"/>
  <c r="AK49"/>
  <c r="AG49"/>
  <c r="AC49"/>
  <c r="Y49"/>
  <c r="U49"/>
  <c r="Q49"/>
  <c r="M49"/>
  <c r="AT48"/>
  <c r="AP48"/>
  <c r="AL48"/>
  <c r="AH48"/>
  <c r="AD48"/>
  <c r="Z48"/>
  <c r="V48"/>
  <c r="R48"/>
  <c r="N48"/>
  <c r="J48"/>
  <c r="AV48"/>
  <c r="AR48"/>
  <c r="AN48"/>
  <c r="AJ48"/>
  <c r="AF48"/>
  <c r="AB48"/>
  <c r="X48"/>
  <c r="T48"/>
  <c r="P48"/>
  <c r="L48"/>
  <c r="AU45"/>
  <c r="AQ45"/>
  <c r="AM45"/>
  <c r="AI45"/>
  <c r="AE45"/>
  <c r="AA45"/>
  <c r="W45"/>
  <c r="S45"/>
  <c r="O45"/>
  <c r="K45"/>
  <c r="AW45"/>
  <c r="AS45"/>
  <c r="AO45"/>
  <c r="AK45"/>
  <c r="AG45"/>
  <c r="AC45"/>
  <c r="Y45"/>
  <c r="U45"/>
  <c r="Q45"/>
  <c r="M45"/>
  <c r="AT44"/>
  <c r="AP44"/>
  <c r="AL44"/>
  <c r="AH44"/>
  <c r="AD44"/>
  <c r="Z44"/>
  <c r="V44"/>
  <c r="R44"/>
  <c r="N44"/>
  <c r="J44"/>
  <c r="AV44"/>
  <c r="AR44"/>
  <c r="AN44"/>
  <c r="AJ44"/>
  <c r="AF44"/>
  <c r="AB44"/>
  <c r="X44"/>
  <c r="T44"/>
  <c r="P44"/>
  <c r="L44"/>
  <c r="AU41"/>
  <c r="AQ41"/>
  <c r="AM41"/>
  <c r="AI41"/>
  <c r="AE41"/>
  <c r="AA41"/>
  <c r="W41"/>
  <c r="S41"/>
  <c r="O41"/>
  <c r="K41"/>
  <c r="AW41"/>
  <c r="AS41"/>
  <c r="AO41"/>
  <c r="AK41"/>
  <c r="AG41"/>
  <c r="AC41"/>
  <c r="Y41"/>
  <c r="U41"/>
  <c r="Q41"/>
  <c r="M41"/>
  <c r="AT40"/>
  <c r="AP40"/>
  <c r="AL40"/>
  <c r="AH40"/>
  <c r="AD40"/>
  <c r="Z40"/>
  <c r="V40"/>
  <c r="R40"/>
  <c r="N40"/>
  <c r="J40"/>
  <c r="AV40"/>
  <c r="AR40"/>
  <c r="AN40"/>
  <c r="AJ40"/>
  <c r="AF40"/>
  <c r="AB40"/>
  <c r="X40"/>
  <c r="T40"/>
  <c r="P40"/>
  <c r="L40"/>
  <c r="AU37"/>
  <c r="AQ37"/>
  <c r="AM37"/>
  <c r="AI37"/>
  <c r="AE37"/>
  <c r="AA37"/>
  <c r="W37"/>
  <c r="S37"/>
  <c r="O37"/>
  <c r="K37"/>
  <c r="AW37"/>
  <c r="AS37"/>
  <c r="AO37"/>
  <c r="AK37"/>
  <c r="AG37"/>
  <c r="AC37"/>
  <c r="Y37"/>
  <c r="U37"/>
  <c r="Q37"/>
  <c r="M37"/>
  <c r="AT36"/>
  <c r="AP36"/>
  <c r="AL36"/>
  <c r="AH36"/>
  <c r="AD36"/>
  <c r="Z36"/>
  <c r="V36"/>
  <c r="R36"/>
  <c r="N36"/>
  <c r="J36"/>
  <c r="AV36"/>
  <c r="AR36"/>
  <c r="AN36"/>
  <c r="AJ36"/>
  <c r="AF36"/>
  <c r="AB36"/>
  <c r="X36"/>
  <c r="T36"/>
  <c r="P36"/>
  <c r="L36"/>
  <c r="AU33"/>
  <c r="AQ33"/>
  <c r="AM33"/>
  <c r="AI33"/>
  <c r="AE33"/>
  <c r="AA33"/>
  <c r="W33"/>
  <c r="S33"/>
  <c r="O33"/>
  <c r="K33"/>
  <c r="AW33"/>
  <c r="AS33"/>
  <c r="AO33"/>
  <c r="AK33"/>
  <c r="AG33"/>
  <c r="AC33"/>
  <c r="Y33"/>
  <c r="U33"/>
  <c r="Q33"/>
  <c r="M33"/>
  <c r="AT32"/>
  <c r="AP32"/>
  <c r="AL32"/>
  <c r="AH32"/>
  <c r="AD32"/>
  <c r="Z32"/>
  <c r="V32"/>
  <c r="R32"/>
  <c r="N32"/>
  <c r="J32"/>
  <c r="AV32"/>
  <c r="AR32"/>
  <c r="AN32"/>
  <c r="AJ32"/>
  <c r="AF32"/>
  <c r="AB32"/>
  <c r="X32"/>
  <c r="T32"/>
  <c r="P32"/>
  <c r="L32"/>
  <c r="AU29"/>
  <c r="AQ29"/>
  <c r="AM29"/>
  <c r="AI29"/>
  <c r="AE29"/>
  <c r="AA29"/>
  <c r="W29"/>
  <c r="S29"/>
  <c r="O29"/>
  <c r="K29"/>
  <c r="AW29"/>
  <c r="AS29"/>
  <c r="AO29"/>
  <c r="AK29"/>
  <c r="AG29"/>
  <c r="AC29"/>
  <c r="Y29"/>
  <c r="U29"/>
  <c r="Q29"/>
  <c r="M29"/>
  <c r="AT28"/>
  <c r="AP28"/>
  <c r="AL28"/>
  <c r="AH28"/>
  <c r="AD28"/>
  <c r="Z28"/>
  <c r="V28"/>
  <c r="R28"/>
  <c r="N28"/>
  <c r="J28"/>
  <c r="AV28"/>
  <c r="AR28"/>
  <c r="AN28"/>
  <c r="AJ28"/>
  <c r="AF28"/>
  <c r="AB28"/>
  <c r="X28"/>
  <c r="T28"/>
  <c r="P28"/>
  <c r="L28"/>
  <c r="AU25"/>
  <c r="AQ25"/>
  <c r="AM25"/>
  <c r="AI25"/>
  <c r="AE25"/>
  <c r="AA25"/>
  <c r="W25"/>
  <c r="S25"/>
  <c r="O25"/>
  <c r="K25"/>
  <c r="AW25"/>
  <c r="AS25"/>
  <c r="AO25"/>
  <c r="AK25"/>
  <c r="AG25"/>
  <c r="AC25"/>
  <c r="Y25"/>
  <c r="U25"/>
  <c r="Q25"/>
  <c r="M25"/>
  <c r="AU22"/>
  <c r="AQ22"/>
  <c r="AM22"/>
  <c r="AI22"/>
  <c r="AE22"/>
  <c r="AA22"/>
  <c r="W22"/>
  <c r="S22"/>
  <c r="O22"/>
  <c r="K22"/>
  <c r="AW22"/>
  <c r="AS22"/>
  <c r="AO22"/>
  <c r="AK22"/>
  <c r="AG22"/>
  <c r="AC22"/>
  <c r="Y22"/>
  <c r="U22"/>
  <c r="Q22"/>
  <c r="M22"/>
  <c r="AT21"/>
  <c r="AP21"/>
  <c r="AL21"/>
  <c r="AH21"/>
  <c r="AD21"/>
  <c r="Z21"/>
  <c r="V21"/>
  <c r="R21"/>
  <c r="N21"/>
  <c r="J21"/>
  <c r="AV21"/>
  <c r="AR21"/>
  <c r="AN21"/>
  <c r="AJ21"/>
  <c r="AF21"/>
  <c r="AB21"/>
  <c r="X21"/>
  <c r="T21"/>
  <c r="P21"/>
  <c r="L21"/>
  <c r="AU18"/>
  <c r="AQ18"/>
  <c r="AM18"/>
  <c r="AI18"/>
  <c r="AE18"/>
  <c r="AA18"/>
  <c r="W18"/>
  <c r="S18"/>
  <c r="O18"/>
  <c r="K18"/>
  <c r="AW18"/>
  <c r="AS18"/>
  <c r="AO18"/>
  <c r="AK18"/>
  <c r="AG18"/>
  <c r="AC18"/>
  <c r="Y18"/>
  <c r="U18"/>
  <c r="Q18"/>
  <c r="M18"/>
  <c r="AT17"/>
  <c r="AP17"/>
  <c r="AL17"/>
  <c r="AH17"/>
  <c r="AD17"/>
  <c r="Z17"/>
  <c r="V17"/>
  <c r="R17"/>
  <c r="N17"/>
  <c r="J17"/>
  <c r="AV17"/>
  <c r="AR17"/>
  <c r="AN17"/>
  <c r="AJ17"/>
  <c r="AF17"/>
  <c r="AB17"/>
  <c r="X17"/>
  <c r="T17"/>
  <c r="P17"/>
  <c r="L17"/>
  <c r="AU14"/>
  <c r="AQ14"/>
  <c r="AM14"/>
  <c r="AI14"/>
  <c r="AE14"/>
  <c r="AA14"/>
  <c r="W14"/>
  <c r="S14"/>
  <c r="O14"/>
  <c r="K14"/>
  <c r="AW14"/>
  <c r="AS14"/>
  <c r="AO14"/>
  <c r="AK14"/>
  <c r="AG14"/>
  <c r="AC14"/>
  <c r="Y14"/>
  <c r="U14"/>
  <c r="Q14"/>
  <c r="M14"/>
  <c r="AT13"/>
  <c r="AP13"/>
  <c r="AL13"/>
  <c r="AH13"/>
  <c r="AD13"/>
  <c r="Z13"/>
  <c r="V13"/>
  <c r="R13"/>
  <c r="N13"/>
  <c r="J13"/>
  <c r="AV13"/>
  <c r="AR13"/>
  <c r="AN13"/>
  <c r="AJ13"/>
  <c r="AF13"/>
  <c r="AB13"/>
  <c r="X13"/>
  <c r="T13"/>
  <c r="P13"/>
  <c r="L13"/>
  <c r="AU70" i="51"/>
  <c r="AQ70"/>
  <c r="AM70"/>
  <c r="AI70"/>
  <c r="AE70"/>
  <c r="AA70"/>
  <c r="W70"/>
  <c r="S70"/>
  <c r="O70"/>
  <c r="K70"/>
  <c r="AW70"/>
  <c r="AS70"/>
  <c r="AO70"/>
  <c r="AK70"/>
  <c r="AG70"/>
  <c r="AC70"/>
  <c r="Y70"/>
  <c r="U70"/>
  <c r="Q70"/>
  <c r="M70"/>
  <c r="AT69"/>
  <c r="AP69"/>
  <c r="AL69"/>
  <c r="AH69"/>
  <c r="AD69"/>
  <c r="Z69"/>
  <c r="V69"/>
  <c r="R69"/>
  <c r="N69"/>
  <c r="J69"/>
  <c r="AV69"/>
  <c r="AR69"/>
  <c r="AN69"/>
  <c r="AJ69"/>
  <c r="AF69"/>
  <c r="AB69"/>
  <c r="X69"/>
  <c r="T69"/>
  <c r="P69"/>
  <c r="L69"/>
  <c r="AU66"/>
  <c r="AQ66"/>
  <c r="AM66"/>
  <c r="AI66"/>
  <c r="AE66"/>
  <c r="AA66"/>
  <c r="W66"/>
  <c r="S66"/>
  <c r="O66"/>
  <c r="K66"/>
  <c r="AW66"/>
  <c r="AS66"/>
  <c r="AO66"/>
  <c r="AK66"/>
  <c r="AG66"/>
  <c r="AC66"/>
  <c r="Y66"/>
  <c r="U66"/>
  <c r="Q66"/>
  <c r="M66"/>
  <c r="AT65"/>
  <c r="AP65"/>
  <c r="AL65"/>
  <c r="AH65"/>
  <c r="AD65"/>
  <c r="Z65"/>
  <c r="V65"/>
  <c r="R65"/>
  <c r="N65"/>
  <c r="J65"/>
  <c r="AV65"/>
  <c r="AR65"/>
  <c r="AN65"/>
  <c r="AJ65"/>
  <c r="AF65"/>
  <c r="AB65"/>
  <c r="X65"/>
  <c r="T65"/>
  <c r="P65"/>
  <c r="L65"/>
  <c r="AU62"/>
  <c r="AQ62"/>
  <c r="AM62"/>
  <c r="AI62"/>
  <c r="AE62"/>
  <c r="AA62"/>
  <c r="W62"/>
  <c r="S62"/>
  <c r="O62"/>
  <c r="K62"/>
  <c r="AW62"/>
  <c r="AS62"/>
  <c r="AO62"/>
  <c r="AK62"/>
  <c r="AG62"/>
  <c r="AC62"/>
  <c r="Y62"/>
  <c r="U62"/>
  <c r="Q62"/>
  <c r="M62"/>
  <c r="AT61"/>
  <c r="AP61"/>
  <c r="AL61"/>
  <c r="AH61"/>
  <c r="AD61"/>
  <c r="Z61"/>
  <c r="V61"/>
  <c r="R61"/>
  <c r="N61"/>
  <c r="J61"/>
  <c r="AV61"/>
  <c r="AR61"/>
  <c r="AN61"/>
  <c r="AJ61"/>
  <c r="AF61"/>
  <c r="AB61"/>
  <c r="X61"/>
  <c r="T61"/>
  <c r="P61"/>
  <c r="L61"/>
  <c r="AU58"/>
  <c r="AQ58"/>
  <c r="AM58"/>
  <c r="AI58"/>
  <c r="AE58"/>
  <c r="AA58"/>
  <c r="W58"/>
  <c r="S58"/>
  <c r="O58"/>
  <c r="K58"/>
  <c r="AW58"/>
  <c r="AS58"/>
  <c r="AO58"/>
  <c r="AK58"/>
  <c r="AG58"/>
  <c r="AC58"/>
  <c r="Y58"/>
  <c r="U58"/>
  <c r="Q58"/>
  <c r="M58"/>
  <c r="AT57"/>
  <c r="AP57"/>
  <c r="AL57"/>
  <c r="AH57"/>
  <c r="AD57"/>
  <c r="Z57"/>
  <c r="V57"/>
  <c r="R57"/>
  <c r="N57"/>
  <c r="J57"/>
  <c r="AV57"/>
  <c r="AR57"/>
  <c r="AN57"/>
  <c r="AJ57"/>
  <c r="AF57"/>
  <c r="AB57"/>
  <c r="X57"/>
  <c r="T57"/>
  <c r="P57"/>
  <c r="L57"/>
  <c r="AU54"/>
  <c r="AQ54"/>
  <c r="AM54"/>
  <c r="AI54"/>
  <c r="AE54"/>
  <c r="AA54"/>
  <c r="W54"/>
  <c r="S54"/>
  <c r="O54"/>
  <c r="K54"/>
  <c r="AW54"/>
  <c r="AS54"/>
  <c r="AO54"/>
  <c r="AK54"/>
  <c r="AG54"/>
  <c r="AC54"/>
  <c r="Y54"/>
  <c r="U54"/>
  <c r="Q54"/>
  <c r="M54"/>
  <c r="AT53"/>
  <c r="AP53"/>
  <c r="AL53"/>
  <c r="AH53"/>
  <c r="AD53"/>
  <c r="Z53"/>
  <c r="V53"/>
  <c r="R53"/>
  <c r="N53"/>
  <c r="J53"/>
  <c r="AV53"/>
  <c r="AR53"/>
  <c r="AN53"/>
  <c r="AJ53"/>
  <c r="AF53"/>
  <c r="AB53"/>
  <c r="X53"/>
  <c r="T53"/>
  <c r="P53"/>
  <c r="L53"/>
  <c r="AU50"/>
  <c r="AQ50"/>
  <c r="AM50"/>
  <c r="AI50"/>
  <c r="AE50"/>
  <c r="AA50"/>
  <c r="W50"/>
  <c r="S50"/>
  <c r="O50"/>
  <c r="K50"/>
  <c r="AW50"/>
  <c r="AS50"/>
  <c r="AO50"/>
  <c r="AK50"/>
  <c r="AG50"/>
  <c r="AC50"/>
  <c r="Y50"/>
  <c r="U50"/>
  <c r="Q50"/>
  <c r="M50"/>
  <c r="AT49"/>
  <c r="AP49"/>
  <c r="AL49"/>
  <c r="AH49"/>
  <c r="AD49"/>
  <c r="Z49"/>
  <c r="V49"/>
  <c r="R49"/>
  <c r="N49"/>
  <c r="J49"/>
  <c r="AV49"/>
  <c r="AR49"/>
  <c r="AN49"/>
  <c r="AJ49"/>
  <c r="AF49"/>
  <c r="AB49"/>
  <c r="X49"/>
  <c r="T49"/>
  <c r="P49"/>
  <c r="L49"/>
  <c r="AU46"/>
  <c r="AQ46"/>
  <c r="AM46"/>
  <c r="AI46"/>
  <c r="AE46"/>
  <c r="AA46"/>
  <c r="W46"/>
  <c r="S46"/>
  <c r="O46"/>
  <c r="K46"/>
  <c r="AW46"/>
  <c r="AS46"/>
  <c r="AO46"/>
  <c r="AK46"/>
  <c r="AG46"/>
  <c r="AC46"/>
  <c r="Y46"/>
  <c r="U46"/>
  <c r="Q46"/>
  <c r="M46"/>
  <c r="AT45"/>
  <c r="AP45"/>
  <c r="AL45"/>
  <c r="AH45"/>
  <c r="AD45"/>
  <c r="Z45"/>
  <c r="V45"/>
  <c r="R45"/>
  <c r="N45"/>
  <c r="J45"/>
  <c r="AV45"/>
  <c r="AR45"/>
  <c r="AN45"/>
  <c r="AJ45"/>
  <c r="AF45"/>
  <c r="AB45"/>
  <c r="X45"/>
  <c r="T45"/>
  <c r="P45"/>
  <c r="L45"/>
  <c r="AU42"/>
  <c r="AQ42"/>
  <c r="AM42"/>
  <c r="AI42"/>
  <c r="AE42"/>
  <c r="AA42"/>
  <c r="W42"/>
  <c r="S42"/>
  <c r="O42"/>
  <c r="K42"/>
  <c r="AW42"/>
  <c r="AS42"/>
  <c r="AO42"/>
  <c r="AK42"/>
  <c r="AG42"/>
  <c r="AC42"/>
  <c r="Y42"/>
  <c r="U42"/>
  <c r="Q42"/>
  <c r="M42"/>
  <c r="AT41"/>
  <c r="AP41"/>
  <c r="AL41"/>
  <c r="AH41"/>
  <c r="AD41"/>
  <c r="Z41"/>
  <c r="V41"/>
  <c r="R41"/>
  <c r="N41"/>
  <c r="J41"/>
  <c r="AV41"/>
  <c r="AR41"/>
  <c r="AN41"/>
  <c r="AJ41"/>
  <c r="AF41"/>
  <c r="AB41"/>
  <c r="X41"/>
  <c r="T41"/>
  <c r="P41"/>
  <c r="L41"/>
  <c r="AU38"/>
  <c r="AQ38"/>
  <c r="AM38"/>
  <c r="AI38"/>
  <c r="AE38"/>
  <c r="AA38"/>
  <c r="W38"/>
  <c r="S38"/>
  <c r="O38"/>
  <c r="K38"/>
  <c r="AW38"/>
  <c r="AS38"/>
  <c r="AO38"/>
  <c r="AK38"/>
  <c r="AG38"/>
  <c r="AC38"/>
  <c r="Y38"/>
  <c r="U38"/>
  <c r="Q38"/>
  <c r="M38"/>
  <c r="AT37"/>
  <c r="AP37"/>
  <c r="AL37"/>
  <c r="AH37"/>
  <c r="AD37"/>
  <c r="Z37"/>
  <c r="V37"/>
  <c r="R37"/>
  <c r="N37"/>
  <c r="J37"/>
  <c r="AV37"/>
  <c r="AR37"/>
  <c r="AN37"/>
  <c r="AJ37"/>
  <c r="AF37"/>
  <c r="AB37"/>
  <c r="X37"/>
  <c r="T37"/>
  <c r="P37"/>
  <c r="L37"/>
  <c r="AU34"/>
  <c r="AQ34"/>
  <c r="AM34"/>
  <c r="AI34"/>
  <c r="AE34"/>
  <c r="AA34"/>
  <c r="W34"/>
  <c r="S34"/>
  <c r="O34"/>
  <c r="K34"/>
  <c r="AW34"/>
  <c r="AS34"/>
  <c r="AO34"/>
  <c r="AK34"/>
  <c r="AG34"/>
  <c r="AC34"/>
  <c r="Y34"/>
  <c r="U34"/>
  <c r="Q34"/>
  <c r="M34"/>
  <c r="AT33"/>
  <c r="AP33"/>
  <c r="AL33"/>
  <c r="AH33"/>
  <c r="AD33"/>
  <c r="Z33"/>
  <c r="V33"/>
  <c r="R33"/>
  <c r="N33"/>
  <c r="J33"/>
  <c r="AV33"/>
  <c r="AR33"/>
  <c r="AN33"/>
  <c r="AJ33"/>
  <c r="AF33"/>
  <c r="AB33"/>
  <c r="X33"/>
  <c r="T33"/>
  <c r="P33"/>
  <c r="L33"/>
  <c r="AU30"/>
  <c r="AQ30"/>
  <c r="AM30"/>
  <c r="AI30"/>
  <c r="AE30"/>
  <c r="AA30"/>
  <c r="W30"/>
  <c r="S30"/>
  <c r="O30"/>
  <c r="K30"/>
  <c r="AW30"/>
  <c r="AS30"/>
  <c r="AO30"/>
  <c r="AK30"/>
  <c r="AG30"/>
  <c r="AC30"/>
  <c r="Y30"/>
  <c r="U30"/>
  <c r="Q30"/>
  <c r="M30"/>
  <c r="AT29"/>
  <c r="AP29"/>
  <c r="AL29"/>
  <c r="AH29"/>
  <c r="AD29"/>
  <c r="Z29"/>
  <c r="V29"/>
  <c r="R29"/>
  <c r="N29"/>
  <c r="J29"/>
  <c r="AV29"/>
  <c r="AR29"/>
  <c r="AN29"/>
  <c r="AJ29"/>
  <c r="AF29"/>
  <c r="AB29"/>
  <c r="X29"/>
  <c r="T29"/>
  <c r="P29"/>
  <c r="L29"/>
  <c r="AU26"/>
  <c r="AQ26"/>
  <c r="AM26"/>
  <c r="AI26"/>
  <c r="AE26"/>
  <c r="AA26"/>
  <c r="W26"/>
  <c r="S26"/>
  <c r="O26"/>
  <c r="K26"/>
  <c r="AW26"/>
  <c r="AS26"/>
  <c r="AO26"/>
  <c r="AK26"/>
  <c r="AG26"/>
  <c r="AC26"/>
  <c r="Y26"/>
  <c r="U26"/>
  <c r="Q26"/>
  <c r="M26"/>
  <c r="AT25"/>
  <c r="AP25"/>
  <c r="AL25"/>
  <c r="AH25"/>
  <c r="AD25"/>
  <c r="Z25"/>
  <c r="V25"/>
  <c r="R25"/>
  <c r="N25"/>
  <c r="J25"/>
  <c r="AV25"/>
  <c r="AR25"/>
  <c r="AN25"/>
  <c r="AJ25"/>
  <c r="AF25"/>
  <c r="AB25"/>
  <c r="X25"/>
  <c r="T25"/>
  <c r="P25"/>
  <c r="L25"/>
  <c r="AU22"/>
  <c r="AQ22"/>
  <c r="AM22"/>
  <c r="AI22"/>
  <c r="AE22"/>
  <c r="AA22"/>
  <c r="W22"/>
  <c r="S22"/>
  <c r="O22"/>
  <c r="K22"/>
  <c r="AW22"/>
  <c r="AS22"/>
  <c r="AO22"/>
  <c r="AK22"/>
  <c r="AG22"/>
  <c r="AC22"/>
  <c r="Y22"/>
  <c r="U22"/>
  <c r="Q22"/>
  <c r="M22"/>
  <c r="AT21"/>
  <c r="AP21"/>
  <c r="AL21"/>
  <c r="AH21"/>
  <c r="AD21"/>
  <c r="Z21"/>
  <c r="V21"/>
  <c r="R21"/>
  <c r="N21"/>
  <c r="J21"/>
  <c r="AV21"/>
  <c r="AR21"/>
  <c r="AN21"/>
  <c r="AJ21"/>
  <c r="AF21"/>
  <c r="AB21"/>
  <c r="X21"/>
  <c r="T21"/>
  <c r="P21"/>
  <c r="L21"/>
  <c r="AU18"/>
  <c r="AQ18"/>
  <c r="AM18"/>
  <c r="AI18"/>
  <c r="AE18"/>
  <c r="AA18"/>
  <c r="W18"/>
  <c r="S18"/>
  <c r="O18"/>
  <c r="K18"/>
  <c r="AW18"/>
  <c r="AS18"/>
  <c r="AO18"/>
  <c r="AK18"/>
  <c r="AG18"/>
  <c r="AC18"/>
  <c r="Y18"/>
  <c r="U18"/>
  <c r="Q18"/>
  <c r="M18"/>
  <c r="AT17"/>
  <c r="AP17"/>
  <c r="AL17"/>
  <c r="AH17"/>
  <c r="AD17"/>
  <c r="Z17"/>
  <c r="V17"/>
  <c r="R17"/>
  <c r="N17"/>
  <c r="J17"/>
  <c r="AV17"/>
  <c r="AR17"/>
  <c r="AN17"/>
  <c r="AJ17"/>
  <c r="AF17"/>
  <c r="AB17"/>
  <c r="X17"/>
  <c r="T17"/>
  <c r="P17"/>
  <c r="L17"/>
  <c r="AU14"/>
  <c r="AQ14"/>
  <c r="AM14"/>
  <c r="AI14"/>
  <c r="AE14"/>
  <c r="AA14"/>
  <c r="W14"/>
  <c r="S14"/>
  <c r="O14"/>
  <c r="K14"/>
  <c r="AW14"/>
  <c r="AS14"/>
  <c r="AO14"/>
  <c r="AK14"/>
  <c r="AG14"/>
  <c r="AC14"/>
  <c r="Y14"/>
  <c r="U14"/>
  <c r="Q14"/>
  <c r="M14"/>
  <c r="AT13"/>
  <c r="AP13"/>
  <c r="AL13"/>
  <c r="AH13"/>
  <c r="AD13"/>
  <c r="Z13"/>
  <c r="V13"/>
  <c r="R13"/>
  <c r="N13"/>
  <c r="J13"/>
  <c r="AV13"/>
  <c r="AR13"/>
  <c r="AN13"/>
  <c r="AJ13"/>
  <c r="AF13"/>
  <c r="AB13"/>
  <c r="X13"/>
  <c r="T13"/>
  <c r="P13"/>
  <c r="L13"/>
  <c r="AT24" i="50"/>
  <c r="AP24"/>
  <c r="AL24"/>
  <c r="AH24"/>
  <c r="AD24"/>
  <c r="Z24"/>
  <c r="V24"/>
  <c r="R24"/>
  <c r="N24"/>
  <c r="J24"/>
  <c r="AV24"/>
  <c r="AR24"/>
  <c r="AN24"/>
  <c r="AJ24"/>
  <c r="AF24"/>
  <c r="AB24"/>
  <c r="X24"/>
  <c r="T24"/>
  <c r="P24"/>
  <c r="L24"/>
  <c r="AU21"/>
  <c r="AQ21"/>
  <c r="AM21"/>
  <c r="AI21"/>
  <c r="AE21"/>
  <c r="AA21"/>
  <c r="W21"/>
  <c r="S21"/>
  <c r="O21"/>
  <c r="K21"/>
  <c r="AW21"/>
  <c r="AS21"/>
  <c r="AO21"/>
  <c r="AK21"/>
  <c r="AG21"/>
  <c r="AC21"/>
  <c r="Y21"/>
  <c r="U21"/>
  <c r="Q21"/>
  <c r="M21"/>
  <c r="AT20"/>
  <c r="AP20"/>
  <c r="AL20"/>
  <c r="AH20"/>
  <c r="AD20"/>
  <c r="Z20"/>
  <c r="V20"/>
  <c r="R20"/>
  <c r="N20"/>
  <c r="J20"/>
  <c r="AV20"/>
  <c r="AR20"/>
  <c r="AN20"/>
  <c r="AJ20"/>
  <c r="AF20"/>
  <c r="AB20"/>
  <c r="X20"/>
  <c r="T20"/>
  <c r="P20"/>
  <c r="L20"/>
  <c r="AU17"/>
  <c r="AQ17"/>
  <c r="AM17"/>
  <c r="AI17"/>
  <c r="AE17"/>
  <c r="AA17"/>
  <c r="W17"/>
  <c r="S17"/>
  <c r="O17"/>
  <c r="K17"/>
  <c r="AW17"/>
  <c r="AS17"/>
  <c r="AO17"/>
  <c r="AK17"/>
  <c r="AG17"/>
  <c r="AC17"/>
  <c r="Y17"/>
  <c r="U17"/>
  <c r="Q17"/>
  <c r="M17"/>
  <c r="AT16"/>
  <c r="AP16"/>
  <c r="AL16"/>
  <c r="AH16"/>
  <c r="AD16"/>
  <c r="Z16"/>
  <c r="V16"/>
  <c r="R16"/>
  <c r="N16"/>
  <c r="J16"/>
  <c r="AV16"/>
  <c r="AR16"/>
  <c r="AN16"/>
  <c r="AJ16"/>
  <c r="AF16"/>
  <c r="AB16"/>
  <c r="X16"/>
  <c r="T16"/>
  <c r="P16"/>
  <c r="L16"/>
  <c r="AU13"/>
  <c r="AQ13"/>
  <c r="AM13"/>
  <c r="AI13"/>
  <c r="AE13"/>
  <c r="AA13"/>
  <c r="W13"/>
  <c r="S13"/>
  <c r="O13"/>
  <c r="K13"/>
  <c r="AW13"/>
  <c r="AS13"/>
  <c r="AO13"/>
  <c r="AK13"/>
  <c r="AG13"/>
  <c r="AC13"/>
  <c r="Y13"/>
  <c r="U13"/>
  <c r="Q13"/>
  <c r="M13"/>
  <c r="AT12"/>
  <c r="AP12"/>
  <c r="AL12"/>
  <c r="AH12"/>
  <c r="AD12"/>
  <c r="Z12"/>
  <c r="V12"/>
  <c r="R12"/>
  <c r="N12"/>
  <c r="J12"/>
  <c r="AV12"/>
  <c r="AR12"/>
  <c r="AN12"/>
  <c r="AJ12"/>
  <c r="AF12"/>
  <c r="AB12"/>
  <c r="X12"/>
  <c r="T12"/>
  <c r="P12"/>
  <c r="L12"/>
  <c r="AU69" i="51"/>
  <c r="AQ69"/>
  <c r="AM69"/>
  <c r="AI69"/>
  <c r="AE69"/>
  <c r="AA69"/>
  <c r="W69"/>
  <c r="S69"/>
  <c r="O69"/>
  <c r="K69"/>
  <c r="AW69"/>
  <c r="AS69"/>
  <c r="AO69"/>
  <c r="AK69"/>
  <c r="AG69"/>
  <c r="AC69"/>
  <c r="Y69"/>
  <c r="U69"/>
  <c r="Q69"/>
  <c r="M69"/>
  <c r="AT68"/>
  <c r="AP68"/>
  <c r="AL68"/>
  <c r="AH68"/>
  <c r="AD68"/>
  <c r="Z68"/>
  <c r="V68"/>
  <c r="R68"/>
  <c r="N68"/>
  <c r="J68"/>
  <c r="AV68"/>
  <c r="AR68"/>
  <c r="AN68"/>
  <c r="AJ68"/>
  <c r="AF68"/>
  <c r="AB68"/>
  <c r="X68"/>
  <c r="T68"/>
  <c r="P68"/>
  <c r="L68"/>
  <c r="AU65"/>
  <c r="AQ65"/>
  <c r="AM65"/>
  <c r="AI65"/>
  <c r="AE65"/>
  <c r="AA65"/>
  <c r="W65"/>
  <c r="S65"/>
  <c r="O65"/>
  <c r="K65"/>
  <c r="AW65"/>
  <c r="AS65"/>
  <c r="AO65"/>
  <c r="AK65"/>
  <c r="AG65"/>
  <c r="AC65"/>
  <c r="Y65"/>
  <c r="U65"/>
  <c r="Q65"/>
  <c r="M65"/>
  <c r="AT64"/>
  <c r="AP64"/>
  <c r="AL64"/>
  <c r="AH64"/>
  <c r="AD64"/>
  <c r="Z64"/>
  <c r="V64"/>
  <c r="R64"/>
  <c r="N64"/>
  <c r="J64"/>
  <c r="AV64"/>
  <c r="AR64"/>
  <c r="AN64"/>
  <c r="AJ64"/>
  <c r="AF64"/>
  <c r="AB64"/>
  <c r="X64"/>
  <c r="T64"/>
  <c r="P64"/>
  <c r="L64"/>
  <c r="AU61"/>
  <c r="AQ61"/>
  <c r="AM61"/>
  <c r="AI61"/>
  <c r="AE61"/>
  <c r="AA61"/>
  <c r="W61"/>
  <c r="S61"/>
  <c r="O61"/>
  <c r="K61"/>
  <c r="AW61"/>
  <c r="AS61"/>
  <c r="AO61"/>
  <c r="AK61"/>
  <c r="AG61"/>
  <c r="AC61"/>
  <c r="Y61"/>
  <c r="U61"/>
  <c r="Q61"/>
  <c r="M61"/>
  <c r="AT60"/>
  <c r="AP60"/>
  <c r="AL60"/>
  <c r="AH60"/>
  <c r="AD60"/>
  <c r="Z60"/>
  <c r="V60"/>
  <c r="R60"/>
  <c r="N60"/>
  <c r="J60"/>
  <c r="AV60"/>
  <c r="AR60"/>
  <c r="AN60"/>
  <c r="AJ60"/>
  <c r="AF60"/>
  <c r="AB60"/>
  <c r="X60"/>
  <c r="T60"/>
  <c r="P60"/>
  <c r="L60"/>
  <c r="AU57"/>
  <c r="AQ57"/>
  <c r="AM57"/>
  <c r="AI57"/>
  <c r="AE57"/>
  <c r="AA57"/>
  <c r="W57"/>
  <c r="S57"/>
  <c r="O57"/>
  <c r="K57"/>
  <c r="AW57"/>
  <c r="AS57"/>
  <c r="AO57"/>
  <c r="AK57"/>
  <c r="AG57"/>
  <c r="AC57"/>
  <c r="Y57"/>
  <c r="U57"/>
  <c r="Q57"/>
  <c r="M57"/>
  <c r="AT56"/>
  <c r="AP56"/>
  <c r="AL56"/>
  <c r="AH56"/>
  <c r="AD56"/>
  <c r="Z56"/>
  <c r="V56"/>
  <c r="R56"/>
  <c r="N56"/>
  <c r="J56"/>
  <c r="AV56"/>
  <c r="AR56"/>
  <c r="AN56"/>
  <c r="AJ56"/>
  <c r="AF56"/>
  <c r="AB56"/>
  <c r="X56"/>
  <c r="T56"/>
  <c r="P56"/>
  <c r="L56"/>
  <c r="AU53"/>
  <c r="AQ53"/>
  <c r="AM53"/>
  <c r="AI53"/>
  <c r="AE53"/>
  <c r="AA53"/>
  <c r="W53"/>
  <c r="S53"/>
  <c r="O53"/>
  <c r="K53"/>
  <c r="AW53"/>
  <c r="AS53"/>
  <c r="AO53"/>
  <c r="AK53"/>
  <c r="AG53"/>
  <c r="AC53"/>
  <c r="Y53"/>
  <c r="U53"/>
  <c r="Q53"/>
  <c r="M53"/>
  <c r="AT52"/>
  <c r="AP52"/>
  <c r="AL52"/>
  <c r="AH52"/>
  <c r="AD52"/>
  <c r="Z52"/>
  <c r="V52"/>
  <c r="R52"/>
  <c r="N52"/>
  <c r="J52"/>
  <c r="AV52"/>
  <c r="AR52"/>
  <c r="AN52"/>
  <c r="AJ52"/>
  <c r="AF52"/>
  <c r="AB52"/>
  <c r="X52"/>
  <c r="T52"/>
  <c r="P52"/>
  <c r="L52"/>
  <c r="AU49"/>
  <c r="AQ49"/>
  <c r="AM49"/>
  <c r="AI49"/>
  <c r="AE49"/>
  <c r="AA49"/>
  <c r="W49"/>
  <c r="S49"/>
  <c r="O49"/>
  <c r="K49"/>
  <c r="AW49"/>
  <c r="AS49"/>
  <c r="AO49"/>
  <c r="AK49"/>
  <c r="AG49"/>
  <c r="AC49"/>
  <c r="Y49"/>
  <c r="U49"/>
  <c r="Q49"/>
  <c r="M49"/>
  <c r="AT48"/>
  <c r="AP48"/>
  <c r="AL48"/>
  <c r="AH48"/>
  <c r="AD48"/>
  <c r="Z48"/>
  <c r="V48"/>
  <c r="R48"/>
  <c r="N48"/>
  <c r="J48"/>
  <c r="AV48"/>
  <c r="AR48"/>
  <c r="AN48"/>
  <c r="AJ48"/>
  <c r="AF48"/>
  <c r="AB48"/>
  <c r="X48"/>
  <c r="T48"/>
  <c r="P48"/>
  <c r="L48"/>
  <c r="AU45"/>
  <c r="AQ45"/>
  <c r="AM45"/>
  <c r="AI45"/>
  <c r="AE45"/>
  <c r="AA45"/>
  <c r="W45"/>
  <c r="S45"/>
  <c r="O45"/>
  <c r="K45"/>
  <c r="AW45"/>
  <c r="AS45"/>
  <c r="AO45"/>
  <c r="AK45"/>
  <c r="AG45"/>
  <c r="AC45"/>
  <c r="Y45"/>
  <c r="U45"/>
  <c r="Q45"/>
  <c r="M45"/>
  <c r="AT44"/>
  <c r="AP44"/>
  <c r="AL44"/>
  <c r="AH44"/>
  <c r="AD44"/>
  <c r="Z44"/>
  <c r="V44"/>
  <c r="R44"/>
  <c r="N44"/>
  <c r="J44"/>
  <c r="AV44"/>
  <c r="AR44"/>
  <c r="AN44"/>
  <c r="AJ44"/>
  <c r="AF44"/>
  <c r="AB44"/>
  <c r="X44"/>
  <c r="T44"/>
  <c r="P44"/>
  <c r="L44"/>
  <c r="AU41"/>
  <c r="AQ41"/>
  <c r="AM41"/>
  <c r="AI41"/>
  <c r="AE41"/>
  <c r="AA41"/>
  <c r="W41"/>
  <c r="S41"/>
  <c r="O41"/>
  <c r="K41"/>
  <c r="AW41"/>
  <c r="AS41"/>
  <c r="AO41"/>
  <c r="AK41"/>
  <c r="AG41"/>
  <c r="AC41"/>
  <c r="Y41"/>
  <c r="U41"/>
  <c r="Q41"/>
  <c r="M41"/>
  <c r="AT40"/>
  <c r="AP40"/>
  <c r="AL40"/>
  <c r="AH40"/>
  <c r="AD40"/>
  <c r="Z40"/>
  <c r="V40"/>
  <c r="R40"/>
  <c r="N40"/>
  <c r="J40"/>
  <c r="AV40"/>
  <c r="AR40"/>
  <c r="AN40"/>
  <c r="AJ40"/>
  <c r="AF40"/>
  <c r="AB40"/>
  <c r="X40"/>
  <c r="T40"/>
  <c r="P40"/>
  <c r="L40"/>
  <c r="AU37"/>
  <c r="AQ37"/>
  <c r="AM37"/>
  <c r="AI37"/>
  <c r="AE37"/>
  <c r="AA37"/>
  <c r="W37"/>
  <c r="S37"/>
  <c r="O37"/>
  <c r="K37"/>
  <c r="AW37"/>
  <c r="AS37"/>
  <c r="AO37"/>
  <c r="AK37"/>
  <c r="AG37"/>
  <c r="AC37"/>
  <c r="Y37"/>
  <c r="U37"/>
  <c r="Q37"/>
  <c r="M37"/>
  <c r="AT36"/>
  <c r="AP36"/>
  <c r="AL36"/>
  <c r="AH36"/>
  <c r="AD36"/>
  <c r="Z36"/>
  <c r="V36"/>
  <c r="R36"/>
  <c r="N36"/>
  <c r="J36"/>
  <c r="AV36"/>
  <c r="AR36"/>
  <c r="AN36"/>
  <c r="AJ36"/>
  <c r="AF36"/>
  <c r="AB36"/>
  <c r="X36"/>
  <c r="T36"/>
  <c r="P36"/>
  <c r="L36"/>
  <c r="AU33"/>
  <c r="AQ33"/>
  <c r="AM33"/>
  <c r="AI33"/>
  <c r="AE33"/>
  <c r="AA33"/>
  <c r="W33"/>
  <c r="S33"/>
  <c r="O33"/>
  <c r="K33"/>
  <c r="AW33"/>
  <c r="AS33"/>
  <c r="AO33"/>
  <c r="AK33"/>
  <c r="AG33"/>
  <c r="AC33"/>
  <c r="Y33"/>
  <c r="U33"/>
  <c r="Q33"/>
  <c r="M33"/>
  <c r="AT32"/>
  <c r="AP32"/>
  <c r="AL32"/>
  <c r="AH32"/>
  <c r="AD32"/>
  <c r="Z32"/>
  <c r="V32"/>
  <c r="R32"/>
  <c r="N32"/>
  <c r="J32"/>
  <c r="AV32"/>
  <c r="AR32"/>
  <c r="AN32"/>
  <c r="AJ32"/>
  <c r="AF32"/>
  <c r="AB32"/>
  <c r="X32"/>
  <c r="T32"/>
  <c r="P32"/>
  <c r="L32"/>
  <c r="AU29"/>
  <c r="AQ29"/>
  <c r="AM29"/>
  <c r="AI29"/>
  <c r="AE29"/>
  <c r="AA29"/>
  <c r="W29"/>
  <c r="S29"/>
  <c r="O29"/>
  <c r="K29"/>
  <c r="AW29"/>
  <c r="AS29"/>
  <c r="AO29"/>
  <c r="AK29"/>
  <c r="AG29"/>
  <c r="AC29"/>
  <c r="Y29"/>
  <c r="U29"/>
  <c r="Q29"/>
  <c r="M29"/>
  <c r="AT28"/>
  <c r="AP28"/>
  <c r="AL28"/>
  <c r="AH28"/>
  <c r="AD28"/>
  <c r="Z28"/>
  <c r="V28"/>
  <c r="R28"/>
  <c r="N28"/>
  <c r="J28"/>
  <c r="AV28"/>
  <c r="AR28"/>
  <c r="AN28"/>
  <c r="AJ28"/>
  <c r="AF28"/>
  <c r="AB28"/>
  <c r="X28"/>
  <c r="T28"/>
  <c r="P28"/>
  <c r="L28"/>
  <c r="AU25"/>
  <c r="AQ25"/>
  <c r="AM25"/>
  <c r="AI25"/>
  <c r="AE25"/>
  <c r="AA25"/>
  <c r="W25"/>
  <c r="S25"/>
  <c r="O25"/>
  <c r="K25"/>
  <c r="AW25"/>
  <c r="AS25"/>
  <c r="AO25"/>
  <c r="AK25"/>
  <c r="AG25"/>
  <c r="AC25"/>
  <c r="Y25"/>
  <c r="U25"/>
  <c r="Q25"/>
  <c r="M25"/>
  <c r="AT24"/>
  <c r="AP24"/>
  <c r="AL24"/>
  <c r="AH24"/>
  <c r="AD24"/>
  <c r="Z24"/>
  <c r="V24"/>
  <c r="R24"/>
  <c r="N24"/>
  <c r="J24"/>
  <c r="AV24"/>
  <c r="AR24"/>
  <c r="AN24"/>
  <c r="AJ24"/>
  <c r="AF24"/>
  <c r="AB24"/>
  <c r="X24"/>
  <c r="T24"/>
  <c r="P24"/>
  <c r="L24"/>
  <c r="AU21"/>
  <c r="AQ21"/>
  <c r="AM21"/>
  <c r="AI21"/>
  <c r="AE21"/>
  <c r="AA21"/>
  <c r="W21"/>
  <c r="S21"/>
  <c r="O21"/>
  <c r="K21"/>
  <c r="AW21"/>
  <c r="AS21"/>
  <c r="AO21"/>
  <c r="AK21"/>
  <c r="AG21"/>
  <c r="AC21"/>
  <c r="Y21"/>
  <c r="U21"/>
  <c r="Q21"/>
  <c r="M21"/>
  <c r="AT20"/>
  <c r="AP20"/>
  <c r="AL20"/>
  <c r="AH20"/>
  <c r="AD20"/>
  <c r="Z20"/>
  <c r="V20"/>
  <c r="R20"/>
  <c r="N20"/>
  <c r="J20"/>
  <c r="AV20"/>
  <c r="AR20"/>
  <c r="AN20"/>
  <c r="AJ20"/>
  <c r="AF20"/>
  <c r="AB20"/>
  <c r="X20"/>
  <c r="T20"/>
  <c r="P20"/>
  <c r="L20"/>
  <c r="AU17"/>
  <c r="AQ17"/>
  <c r="AM17"/>
  <c r="AI17"/>
  <c r="AE17"/>
  <c r="AA17"/>
  <c r="W17"/>
  <c r="S17"/>
  <c r="O17"/>
  <c r="K17"/>
  <c r="AW17"/>
  <c r="AS17"/>
  <c r="AO17"/>
  <c r="AK17"/>
  <c r="AG17"/>
  <c r="AC17"/>
  <c r="Y17"/>
  <c r="U17"/>
  <c r="Q17"/>
  <c r="M17"/>
  <c r="AT16"/>
  <c r="AP16"/>
  <c r="AL16"/>
  <c r="AH16"/>
  <c r="AD16"/>
  <c r="Z16"/>
  <c r="V16"/>
  <c r="R16"/>
  <c r="N16"/>
  <c r="J16"/>
  <c r="AV16"/>
  <c r="AR16"/>
  <c r="AN16"/>
  <c r="AJ16"/>
  <c r="AF16"/>
  <c r="AB16"/>
  <c r="X16"/>
  <c r="T16"/>
  <c r="P16"/>
  <c r="L16"/>
  <c r="AU13"/>
  <c r="AQ13"/>
  <c r="AM13"/>
  <c r="AI13"/>
  <c r="AE13"/>
  <c r="AA13"/>
  <c r="W13"/>
  <c r="S13"/>
  <c r="O13"/>
  <c r="K13"/>
  <c r="AW13"/>
  <c r="AS13"/>
  <c r="AO13"/>
  <c r="AK13"/>
  <c r="AG13"/>
  <c r="AC13"/>
  <c r="Y13"/>
  <c r="U13"/>
  <c r="Q13"/>
  <c r="M13"/>
  <c r="AT12"/>
  <c r="AP12"/>
  <c r="AL12"/>
  <c r="AH12"/>
  <c r="AD12"/>
  <c r="Z12"/>
  <c r="V12"/>
  <c r="R12"/>
  <c r="N12"/>
  <c r="J12"/>
  <c r="AV12"/>
  <c r="AR12"/>
  <c r="AN12"/>
  <c r="AJ12"/>
  <c r="AF12"/>
  <c r="AB12"/>
  <c r="X12"/>
  <c r="T12"/>
  <c r="P12"/>
  <c r="L12"/>
  <c r="AU33" i="48"/>
  <c r="AQ33"/>
  <c r="AM33"/>
  <c r="AI33"/>
  <c r="AE33"/>
  <c r="AA33"/>
  <c r="W33"/>
  <c r="S33"/>
  <c r="O33"/>
  <c r="K33"/>
  <c r="AW33"/>
  <c r="AS33"/>
  <c r="AO33"/>
  <c r="AK33"/>
  <c r="AG33"/>
  <c r="AC33"/>
  <c r="Y33"/>
  <c r="U33"/>
  <c r="Q33"/>
  <c r="M33"/>
  <c r="AT32"/>
  <c r="AP32"/>
  <c r="AL32"/>
  <c r="AH32"/>
  <c r="AD32"/>
  <c r="Z32"/>
  <c r="V32"/>
  <c r="R32"/>
  <c r="N32"/>
  <c r="J32"/>
  <c r="AV32"/>
  <c r="AR32"/>
  <c r="AN32"/>
  <c r="AJ32"/>
  <c r="AF32"/>
  <c r="AB32"/>
  <c r="X32"/>
  <c r="T32"/>
  <c r="P32"/>
  <c r="L32"/>
  <c r="AU29"/>
  <c r="AQ29"/>
  <c r="AM29"/>
  <c r="AI29"/>
  <c r="AE29"/>
  <c r="AA29"/>
  <c r="W29"/>
  <c r="S29"/>
  <c r="O29"/>
  <c r="K29"/>
  <c r="AW29"/>
  <c r="AS29"/>
  <c r="AO29"/>
  <c r="AK29"/>
  <c r="AG29"/>
  <c r="AC29"/>
  <c r="Y29"/>
  <c r="U29"/>
  <c r="Q29"/>
  <c r="M29"/>
  <c r="AT28"/>
  <c r="AP28"/>
  <c r="AL28"/>
  <c r="AH28"/>
  <c r="AD28"/>
  <c r="Z28"/>
  <c r="V28"/>
  <c r="R28"/>
  <c r="N28"/>
  <c r="J28"/>
  <c r="AV28"/>
  <c r="AR28"/>
  <c r="AN28"/>
  <c r="AJ28"/>
  <c r="AF28"/>
  <c r="AB28"/>
  <c r="X28"/>
  <c r="T28"/>
  <c r="P28"/>
  <c r="L28"/>
  <c r="AU21"/>
  <c r="AQ21"/>
  <c r="AM21"/>
  <c r="AI21"/>
  <c r="AE21"/>
  <c r="AA21"/>
  <c r="W21"/>
  <c r="S21"/>
  <c r="O21"/>
  <c r="K21"/>
  <c r="AW21"/>
  <c r="AS21"/>
  <c r="AO21"/>
  <c r="AK21"/>
  <c r="AG21"/>
  <c r="AC21"/>
  <c r="Y21"/>
  <c r="U21"/>
  <c r="Q21"/>
  <c r="M21"/>
  <c r="AT20"/>
  <c r="AP20"/>
  <c r="AL20"/>
  <c r="AH20"/>
  <c r="AD20"/>
  <c r="Z20"/>
  <c r="V20"/>
  <c r="R20"/>
  <c r="N20"/>
  <c r="J20"/>
  <c r="AV20"/>
  <c r="AR20"/>
  <c r="AN20"/>
  <c r="AJ20"/>
  <c r="AF20"/>
  <c r="AB20"/>
  <c r="X20"/>
  <c r="T20"/>
  <c r="P20"/>
  <c r="L20"/>
  <c r="AT16"/>
  <c r="AP16"/>
  <c r="AL16"/>
  <c r="AH16"/>
  <c r="AD16"/>
  <c r="Z16"/>
  <c r="V16"/>
  <c r="R16"/>
  <c r="N16"/>
  <c r="J16"/>
  <c r="AV16"/>
  <c r="AR16"/>
  <c r="AN16"/>
  <c r="AJ16"/>
  <c r="AF16"/>
  <c r="AB16"/>
  <c r="X16"/>
  <c r="T16"/>
  <c r="P16"/>
  <c r="L16"/>
  <c r="AT38"/>
  <c r="AP38"/>
  <c r="AL38"/>
  <c r="AH38"/>
  <c r="AD38"/>
  <c r="Z38"/>
  <c r="V38"/>
  <c r="R38"/>
  <c r="N38"/>
  <c r="J38"/>
  <c r="AV38"/>
  <c r="AR38"/>
  <c r="AN38"/>
  <c r="AJ38"/>
  <c r="AF38"/>
  <c r="AB38"/>
  <c r="X38"/>
  <c r="T38"/>
  <c r="P38"/>
  <c r="L38"/>
  <c r="AU35"/>
  <c r="AQ35"/>
  <c r="AM35"/>
  <c r="AI35"/>
  <c r="AE35"/>
  <c r="AA35"/>
  <c r="W35"/>
  <c r="S35"/>
  <c r="O35"/>
  <c r="K35"/>
  <c r="AW35"/>
  <c r="AS35"/>
  <c r="AO35"/>
  <c r="AK35"/>
  <c r="AG35"/>
  <c r="AC35"/>
  <c r="Y35"/>
  <c r="U35"/>
  <c r="Q35"/>
  <c r="M35"/>
  <c r="AT34"/>
  <c r="AP34"/>
  <c r="AL34"/>
  <c r="AH34"/>
  <c r="AD34"/>
  <c r="Z34"/>
  <c r="V34"/>
  <c r="R34"/>
  <c r="N34"/>
  <c r="J34"/>
  <c r="AV34"/>
  <c r="AR34"/>
  <c r="AN34"/>
  <c r="AJ34"/>
  <c r="AF34"/>
  <c r="AB34"/>
  <c r="X34"/>
  <c r="T34"/>
  <c r="P34"/>
  <c r="L34"/>
  <c r="AU31"/>
  <c r="AQ31"/>
  <c r="AM31"/>
  <c r="AI31"/>
  <c r="AE31"/>
  <c r="AA31"/>
  <c r="W31"/>
  <c r="S31"/>
  <c r="O31"/>
  <c r="K31"/>
  <c r="AW31"/>
  <c r="AS31"/>
  <c r="AO31"/>
  <c r="AK31"/>
  <c r="AG31"/>
  <c r="AC31"/>
  <c r="Y31"/>
  <c r="U31"/>
  <c r="Q31"/>
  <c r="M31"/>
  <c r="AT30"/>
  <c r="AP30"/>
  <c r="AL30"/>
  <c r="AH30"/>
  <c r="AD30"/>
  <c r="Z30"/>
  <c r="V30"/>
  <c r="R30"/>
  <c r="N30"/>
  <c r="J30"/>
  <c r="AV30"/>
  <c r="AR30"/>
  <c r="AN30"/>
  <c r="AJ30"/>
  <c r="AF30"/>
  <c r="AB30"/>
  <c r="X30"/>
  <c r="T30"/>
  <c r="P30"/>
  <c r="L30"/>
  <c r="AU27"/>
  <c r="AQ27"/>
  <c r="AM27"/>
  <c r="AI27"/>
  <c r="AE27"/>
  <c r="AA27"/>
  <c r="W27"/>
  <c r="S27"/>
  <c r="O27"/>
  <c r="K27"/>
  <c r="AW27"/>
  <c r="AS27"/>
  <c r="AO27"/>
  <c r="AK27"/>
  <c r="AG27"/>
  <c r="AC27"/>
  <c r="Y27"/>
  <c r="U27"/>
  <c r="Q27"/>
  <c r="M27"/>
  <c r="AT26"/>
  <c r="AP26"/>
  <c r="AL26"/>
  <c r="AH26"/>
  <c r="AD26"/>
  <c r="Z26"/>
  <c r="V26"/>
  <c r="R26"/>
  <c r="N26"/>
  <c r="J26"/>
  <c r="AV26"/>
  <c r="AR26"/>
  <c r="AN26"/>
  <c r="AJ26"/>
  <c r="AF26"/>
  <c r="AB26"/>
  <c r="X26"/>
  <c r="T26"/>
  <c r="P26"/>
  <c r="L26"/>
  <c r="AU23"/>
  <c r="AQ23"/>
  <c r="AM23"/>
  <c r="AI23"/>
  <c r="AE23"/>
  <c r="AA23"/>
  <c r="W23"/>
  <c r="S23"/>
  <c r="O23"/>
  <c r="K23"/>
  <c r="AW23"/>
  <c r="AS23"/>
  <c r="AO23"/>
  <c r="AK23"/>
  <c r="AG23"/>
  <c r="AC23"/>
  <c r="Y23"/>
  <c r="U23"/>
  <c r="Q23"/>
  <c r="M23"/>
  <c r="AT22"/>
  <c r="AP22"/>
  <c r="AL22"/>
  <c r="AH22"/>
  <c r="AD22"/>
  <c r="Z22"/>
  <c r="V22"/>
  <c r="R22"/>
  <c r="N22"/>
  <c r="J22"/>
  <c r="AV22"/>
  <c r="AR22"/>
  <c r="AN22"/>
  <c r="AJ22"/>
  <c r="AF22"/>
  <c r="AB22"/>
  <c r="X22"/>
  <c r="T22"/>
  <c r="P22"/>
  <c r="L22"/>
  <c r="AU19"/>
  <c r="AQ19"/>
  <c r="AM19"/>
  <c r="AI19"/>
  <c r="AE19"/>
  <c r="AA19"/>
  <c r="W19"/>
  <c r="S19"/>
  <c r="O19"/>
  <c r="K19"/>
  <c r="AW19"/>
  <c r="AS19"/>
  <c r="AO19"/>
  <c r="AK19"/>
  <c r="AG19"/>
  <c r="AC19"/>
  <c r="Y19"/>
  <c r="U19"/>
  <c r="Q19"/>
  <c r="M19"/>
  <c r="AT18"/>
  <c r="AP18"/>
  <c r="AL18"/>
  <c r="AH18"/>
  <c r="AD18"/>
  <c r="Z18"/>
  <c r="V18"/>
  <c r="R18"/>
  <c r="N18"/>
  <c r="J18"/>
  <c r="AV18"/>
  <c r="AR18"/>
  <c r="AN18"/>
  <c r="AJ18"/>
  <c r="AF18"/>
  <c r="AB18"/>
  <c r="X18"/>
  <c r="T18"/>
  <c r="P18"/>
  <c r="L18"/>
  <c r="AU15"/>
  <c r="AQ15"/>
  <c r="AM15"/>
  <c r="AI15"/>
  <c r="AE15"/>
  <c r="AA15"/>
  <c r="W15"/>
  <c r="S15"/>
  <c r="O15"/>
  <c r="K15"/>
  <c r="AW15"/>
  <c r="AS15"/>
  <c r="AO15"/>
  <c r="AK15"/>
  <c r="AG15"/>
  <c r="AC15"/>
  <c r="Y15"/>
  <c r="U15"/>
  <c r="Q15"/>
  <c r="M15"/>
  <c r="AT14"/>
  <c r="AP14"/>
  <c r="AL14"/>
  <c r="AH14"/>
  <c r="AD14"/>
  <c r="Z14"/>
  <c r="V14"/>
  <c r="R14"/>
  <c r="N14"/>
  <c r="J14"/>
  <c r="AV14"/>
  <c r="AR14"/>
  <c r="AN14"/>
  <c r="AJ14"/>
  <c r="AF14"/>
  <c r="AB14"/>
  <c r="X14"/>
  <c r="T14"/>
  <c r="P14"/>
  <c r="L14"/>
  <c r="AU52"/>
  <c r="AQ52"/>
  <c r="AM52"/>
  <c r="AI52"/>
  <c r="AE52"/>
  <c r="AA52"/>
  <c r="W52"/>
  <c r="S52"/>
  <c r="O52"/>
  <c r="K52"/>
  <c r="AW52"/>
  <c r="AS52"/>
  <c r="AO52"/>
  <c r="AK52"/>
  <c r="AG52"/>
  <c r="AC52"/>
  <c r="Y52"/>
  <c r="U52"/>
  <c r="Q52"/>
  <c r="M52"/>
  <c r="AT51"/>
  <c r="AP51"/>
  <c r="AL51"/>
  <c r="AH51"/>
  <c r="AD51"/>
  <c r="Z51"/>
  <c r="V51"/>
  <c r="R51"/>
  <c r="N51"/>
  <c r="J51"/>
  <c r="AV51"/>
  <c r="AR51"/>
  <c r="AN51"/>
  <c r="AJ51"/>
  <c r="AF51"/>
  <c r="AB51"/>
  <c r="X51"/>
  <c r="T51"/>
  <c r="P51"/>
  <c r="L51"/>
  <c r="AU48"/>
  <c r="AQ48"/>
  <c r="AM48"/>
  <c r="AI48"/>
  <c r="AE48"/>
  <c r="AA48"/>
  <c r="W48"/>
  <c r="S48"/>
  <c r="O48"/>
  <c r="K48"/>
  <c r="AW48"/>
  <c r="AS48"/>
  <c r="AO48"/>
  <c r="AK48"/>
  <c r="AG48"/>
  <c r="AC48"/>
  <c r="Y48"/>
  <c r="U48"/>
  <c r="Q48"/>
  <c r="M48"/>
  <c r="AT47"/>
  <c r="AP47"/>
  <c r="AL47"/>
  <c r="AH47"/>
  <c r="AD47"/>
  <c r="Z47"/>
  <c r="V47"/>
  <c r="R47"/>
  <c r="N47"/>
  <c r="J47"/>
  <c r="AV47"/>
  <c r="AR47"/>
  <c r="AN47"/>
  <c r="AJ47"/>
  <c r="AF47"/>
  <c r="AB47"/>
  <c r="X47"/>
  <c r="T47"/>
  <c r="P47"/>
  <c r="L47"/>
  <c r="AU44"/>
  <c r="AQ44"/>
  <c r="AM44"/>
  <c r="AI44"/>
  <c r="AE44"/>
  <c r="AA44"/>
  <c r="W44"/>
  <c r="S44"/>
  <c r="O44"/>
  <c r="K44"/>
  <c r="AW44"/>
  <c r="AS44"/>
  <c r="AO44"/>
  <c r="AK44"/>
  <c r="AG44"/>
  <c r="AC44"/>
  <c r="Y44"/>
  <c r="U44"/>
  <c r="Q44"/>
  <c r="M44"/>
  <c r="AT43"/>
  <c r="AP43"/>
  <c r="AL43"/>
  <c r="AH43"/>
  <c r="AD43"/>
  <c r="Z43"/>
  <c r="V43"/>
  <c r="R43"/>
  <c r="N43"/>
  <c r="J43"/>
  <c r="AV43"/>
  <c r="AR43"/>
  <c r="AN43"/>
  <c r="AJ43"/>
  <c r="AF43"/>
  <c r="AB43"/>
  <c r="X43"/>
  <c r="T43"/>
  <c r="P43"/>
  <c r="L43"/>
  <c r="AU40"/>
  <c r="AQ40"/>
  <c r="AM40"/>
  <c r="AI40"/>
  <c r="AE40"/>
  <c r="AA40"/>
  <c r="W40"/>
  <c r="S40"/>
  <c r="O40"/>
  <c r="K40"/>
  <c r="AW40"/>
  <c r="AS40"/>
  <c r="AO40"/>
  <c r="AK40"/>
  <c r="AG40"/>
  <c r="AC40"/>
  <c r="Y40"/>
  <c r="U40"/>
  <c r="Q40"/>
  <c r="M40"/>
  <c r="AT39"/>
  <c r="AP39"/>
  <c r="AL39"/>
  <c r="AH39"/>
  <c r="AD39"/>
  <c r="Z39"/>
  <c r="V39"/>
  <c r="R39"/>
  <c r="N39"/>
  <c r="J39"/>
  <c r="AV39"/>
  <c r="AR39"/>
  <c r="AN39"/>
  <c r="AJ39"/>
  <c r="AF39"/>
  <c r="AB39"/>
  <c r="X39"/>
  <c r="T39"/>
  <c r="P39"/>
  <c r="L39"/>
  <c r="AU53"/>
  <c r="AQ53"/>
  <c r="AM53"/>
  <c r="AI53"/>
  <c r="AE53"/>
  <c r="AA53"/>
  <c r="W53"/>
  <c r="S53"/>
  <c r="O53"/>
  <c r="K53"/>
  <c r="AW53"/>
  <c r="AS53"/>
  <c r="AO53"/>
  <c r="AK53"/>
  <c r="AG53"/>
  <c r="AC53"/>
  <c r="Y53"/>
  <c r="U53"/>
  <c r="Q53"/>
  <c r="M53"/>
  <c r="AT37" i="49"/>
  <c r="AP37"/>
  <c r="AL37"/>
  <c r="AH37"/>
  <c r="AD37"/>
  <c r="Z37"/>
  <c r="V37"/>
  <c r="R37"/>
  <c r="N37"/>
  <c r="J37"/>
  <c r="AV37"/>
  <c r="AR37"/>
  <c r="AN37"/>
  <c r="AJ37"/>
  <c r="AF37"/>
  <c r="AB37"/>
  <c r="X37"/>
  <c r="T37"/>
  <c r="P37"/>
  <c r="L37"/>
  <c r="AU34"/>
  <c r="AQ34"/>
  <c r="AM34"/>
  <c r="AI34"/>
  <c r="AE34"/>
  <c r="AA34"/>
  <c r="W34"/>
  <c r="S34"/>
  <c r="O34"/>
  <c r="K34"/>
  <c r="AW34"/>
  <c r="AS34"/>
  <c r="AO34"/>
  <c r="AK34"/>
  <c r="AG34"/>
  <c r="AC34"/>
  <c r="Y34"/>
  <c r="U34"/>
  <c r="Q34"/>
  <c r="M34"/>
  <c r="AT33"/>
  <c r="AP33"/>
  <c r="AL33"/>
  <c r="AH33"/>
  <c r="AD33"/>
  <c r="Z33"/>
  <c r="V33"/>
  <c r="R33"/>
  <c r="N33"/>
  <c r="J33"/>
  <c r="AV33"/>
  <c r="AR33"/>
  <c r="AN33"/>
  <c r="AJ33"/>
  <c r="AF33"/>
  <c r="AB33"/>
  <c r="X33"/>
  <c r="T33"/>
  <c r="P33"/>
  <c r="L33"/>
  <c r="AU30"/>
  <c r="AQ30"/>
  <c r="AM30"/>
  <c r="AI30"/>
  <c r="AE30"/>
  <c r="AA30"/>
  <c r="W30"/>
  <c r="S30"/>
  <c r="O30"/>
  <c r="K30"/>
  <c r="AW30"/>
  <c r="AS30"/>
  <c r="AO30"/>
  <c r="AK30"/>
  <c r="AG30"/>
  <c r="AC30"/>
  <c r="Y30"/>
  <c r="U30"/>
  <c r="Q30"/>
  <c r="M30"/>
  <c r="AT29"/>
  <c r="AP29"/>
  <c r="AL29"/>
  <c r="AH29"/>
  <c r="AD29"/>
  <c r="Z29"/>
  <c r="V29"/>
  <c r="R29"/>
  <c r="N29"/>
  <c r="J29"/>
  <c r="AV29"/>
  <c r="AR29"/>
  <c r="AN29"/>
  <c r="AJ29"/>
  <c r="AF29"/>
  <c r="AB29"/>
  <c r="X29"/>
  <c r="T29"/>
  <c r="P29"/>
  <c r="L29"/>
  <c r="AU26"/>
  <c r="AQ26"/>
  <c r="AM26"/>
  <c r="AI26"/>
  <c r="AE26"/>
  <c r="AA26"/>
  <c r="W26"/>
  <c r="S26"/>
  <c r="O26"/>
  <c r="K26"/>
  <c r="AW26"/>
  <c r="AS26"/>
  <c r="AO26"/>
  <c r="AK26"/>
  <c r="AG26"/>
  <c r="AC26"/>
  <c r="Y26"/>
  <c r="U26"/>
  <c r="Q26"/>
  <c r="M26"/>
  <c r="AT25"/>
  <c r="AP25"/>
  <c r="AL25"/>
  <c r="AH25"/>
  <c r="AD25"/>
  <c r="Z25"/>
  <c r="V25"/>
  <c r="R25"/>
  <c r="N25"/>
  <c r="J25"/>
  <c r="AV25"/>
  <c r="AR25"/>
  <c r="AN25"/>
  <c r="AJ25"/>
  <c r="AF25"/>
  <c r="AB25"/>
  <c r="X25"/>
  <c r="T25"/>
  <c r="P25"/>
  <c r="L25"/>
  <c r="AU22"/>
  <c r="AQ22"/>
  <c r="AM22"/>
  <c r="AI22"/>
  <c r="AE22"/>
  <c r="AA22"/>
  <c r="W22"/>
  <c r="S22"/>
  <c r="O22"/>
  <c r="K22"/>
  <c r="AW22"/>
  <c r="AS22"/>
  <c r="AO22"/>
  <c r="AK22"/>
  <c r="AG22"/>
  <c r="AC22"/>
  <c r="Y22"/>
  <c r="U22"/>
  <c r="Q22"/>
  <c r="M22"/>
  <c r="AT21"/>
  <c r="AP21"/>
  <c r="AL21"/>
  <c r="AH21"/>
  <c r="AD21"/>
  <c r="Z21"/>
  <c r="V21"/>
  <c r="R21"/>
  <c r="N21"/>
  <c r="J21"/>
  <c r="AV21"/>
  <c r="AR21"/>
  <c r="AN21"/>
  <c r="AJ21"/>
  <c r="AF21"/>
  <c r="AB21"/>
  <c r="X21"/>
  <c r="T21"/>
  <c r="P21"/>
  <c r="L21"/>
  <c r="AU18"/>
  <c r="AQ18"/>
  <c r="AM18"/>
  <c r="AI18"/>
  <c r="AE18"/>
  <c r="AA18"/>
  <c r="W18"/>
  <c r="S18"/>
  <c r="O18"/>
  <c r="K18"/>
  <c r="AW18"/>
  <c r="AS18"/>
  <c r="AO18"/>
  <c r="AK18"/>
  <c r="AG18"/>
  <c r="AC18"/>
  <c r="Y18"/>
  <c r="U18"/>
  <c r="Q18"/>
  <c r="M18"/>
  <c r="AT17"/>
  <c r="AP17"/>
  <c r="AL17"/>
  <c r="AH17"/>
  <c r="AD17"/>
  <c r="Z17"/>
  <c r="V17"/>
  <c r="R17"/>
  <c r="N17"/>
  <c r="J17"/>
  <c r="AV17"/>
  <c r="AR17"/>
  <c r="AN17"/>
  <c r="AJ17"/>
  <c r="AF17"/>
  <c r="AB17"/>
  <c r="X17"/>
  <c r="T17"/>
  <c r="P17"/>
  <c r="L17"/>
  <c r="AU14"/>
  <c r="AQ14"/>
  <c r="AM14"/>
  <c r="AI14"/>
  <c r="AE14"/>
  <c r="AA14"/>
  <c r="W14"/>
  <c r="S14"/>
  <c r="O14"/>
  <c r="K14"/>
  <c r="AW14"/>
  <c r="AS14"/>
  <c r="AO14"/>
  <c r="AK14"/>
  <c r="AG14"/>
  <c r="AC14"/>
  <c r="Y14"/>
  <c r="U14"/>
  <c r="Q14"/>
  <c r="M14"/>
  <c r="AT13"/>
  <c r="AP13"/>
  <c r="AL13"/>
  <c r="AH13"/>
  <c r="AD13"/>
  <c r="Z13"/>
  <c r="V13"/>
  <c r="R13"/>
  <c r="N13"/>
  <c r="J13"/>
  <c r="AV13"/>
  <c r="AR13"/>
  <c r="AN13"/>
  <c r="AJ13"/>
  <c r="AF13"/>
  <c r="AB13"/>
  <c r="X13"/>
  <c r="T13"/>
  <c r="P13"/>
  <c r="L13"/>
  <c r="AU74" i="50"/>
  <c r="AQ74"/>
  <c r="AM74"/>
  <c r="AI74"/>
  <c r="AE74"/>
  <c r="AA74"/>
  <c r="W74"/>
  <c r="S74"/>
  <c r="O74"/>
  <c r="K74"/>
  <c r="AW74"/>
  <c r="AS74"/>
  <c r="AO74"/>
  <c r="AK74"/>
  <c r="AG74"/>
  <c r="AC74"/>
  <c r="Y74"/>
  <c r="U74"/>
  <c r="Q74"/>
  <c r="M74"/>
  <c r="AT73"/>
  <c r="AP73"/>
  <c r="AL73"/>
  <c r="AH73"/>
  <c r="AD73"/>
  <c r="Z73"/>
  <c r="V73"/>
  <c r="R73"/>
  <c r="N73"/>
  <c r="J73"/>
  <c r="AV73"/>
  <c r="AR73"/>
  <c r="AN73"/>
  <c r="AJ73"/>
  <c r="AF73"/>
  <c r="AB73"/>
  <c r="X73"/>
  <c r="T73"/>
  <c r="P73"/>
  <c r="L73"/>
  <c r="AU70"/>
  <c r="AQ70"/>
  <c r="AM70"/>
  <c r="AI70"/>
  <c r="AE70"/>
  <c r="AA70"/>
  <c r="W70"/>
  <c r="S70"/>
  <c r="O70"/>
  <c r="K70"/>
  <c r="AW70"/>
  <c r="AS70"/>
  <c r="AO70"/>
  <c r="AK70"/>
  <c r="AG70"/>
  <c r="AC70"/>
  <c r="Y70"/>
  <c r="U70"/>
  <c r="Q70"/>
  <c r="M70"/>
  <c r="AT69"/>
  <c r="AP69"/>
  <c r="AL69"/>
  <c r="AH69"/>
  <c r="AD69"/>
  <c r="Z69"/>
  <c r="V69"/>
  <c r="R69"/>
  <c r="N69"/>
  <c r="J69"/>
  <c r="AV69"/>
  <c r="AR69"/>
  <c r="AN69"/>
  <c r="AJ69"/>
  <c r="AF69"/>
  <c r="AB69"/>
  <c r="X69"/>
  <c r="T69"/>
  <c r="P69"/>
  <c r="L69"/>
  <c r="AU66"/>
  <c r="AQ66"/>
  <c r="AM66"/>
  <c r="AI66"/>
  <c r="AE66"/>
  <c r="AA66"/>
  <c r="W66"/>
  <c r="S66"/>
  <c r="O66"/>
  <c r="K66"/>
  <c r="AW66"/>
  <c r="AS66"/>
  <c r="AO66"/>
  <c r="AK66"/>
  <c r="AG66"/>
  <c r="AC66"/>
  <c r="Y66"/>
  <c r="U66"/>
  <c r="Q66"/>
  <c r="M66"/>
  <c r="AT65"/>
  <c r="AP65"/>
  <c r="AL65"/>
  <c r="AH65"/>
  <c r="AD65"/>
  <c r="Z65"/>
  <c r="V65"/>
  <c r="R65"/>
  <c r="N65"/>
  <c r="J65"/>
  <c r="AV65"/>
  <c r="AR65"/>
  <c r="AN65"/>
  <c r="AJ65"/>
  <c r="AF65"/>
  <c r="AB65"/>
  <c r="X65"/>
  <c r="T65"/>
  <c r="P65"/>
  <c r="L65"/>
  <c r="AU62"/>
  <c r="AQ62"/>
  <c r="AM62"/>
  <c r="AI62"/>
  <c r="AE62"/>
  <c r="AA62"/>
  <c r="W62"/>
  <c r="S62"/>
  <c r="O62"/>
  <c r="K62"/>
  <c r="AW62"/>
  <c r="AS62"/>
  <c r="AO62"/>
  <c r="AK62"/>
  <c r="AG62"/>
  <c r="AC62"/>
  <c r="Y62"/>
  <c r="U62"/>
  <c r="Q62"/>
  <c r="M62"/>
  <c r="AT61"/>
  <c r="AP61"/>
  <c r="AL61"/>
  <c r="AH61"/>
  <c r="AD61"/>
  <c r="Z61"/>
  <c r="V61"/>
  <c r="R61"/>
  <c r="N61"/>
  <c r="J61"/>
  <c r="AV61"/>
  <c r="AR61"/>
  <c r="AN61"/>
  <c r="AJ61"/>
  <c r="AF61"/>
  <c r="AB61"/>
  <c r="X61"/>
  <c r="T61"/>
  <c r="P61"/>
  <c r="L61"/>
  <c r="AU58"/>
  <c r="AQ58"/>
  <c r="AM58"/>
  <c r="AI58"/>
  <c r="AE58"/>
  <c r="AA58"/>
  <c r="W58"/>
  <c r="S58"/>
  <c r="O58"/>
  <c r="K58"/>
  <c r="AW58"/>
  <c r="AS58"/>
  <c r="AO58"/>
  <c r="AK58"/>
  <c r="AG58"/>
  <c r="AC58"/>
  <c r="Y58"/>
  <c r="U58"/>
  <c r="Q58"/>
  <c r="M58"/>
  <c r="AT57"/>
  <c r="AP57"/>
  <c r="AL57"/>
  <c r="AH57"/>
  <c r="AD57"/>
  <c r="Z57"/>
  <c r="V57"/>
  <c r="R57"/>
  <c r="N57"/>
  <c r="J57"/>
  <c r="AV57"/>
  <c r="AR57"/>
  <c r="AN57"/>
  <c r="AJ57"/>
  <c r="AF57"/>
  <c r="AB57"/>
  <c r="X57"/>
  <c r="T57"/>
  <c r="P57"/>
  <c r="L57"/>
  <c r="AU54"/>
  <c r="AQ54"/>
  <c r="AM54"/>
  <c r="AI54"/>
  <c r="AE54"/>
  <c r="AA54"/>
  <c r="W54"/>
  <c r="S54"/>
  <c r="O54"/>
  <c r="K54"/>
  <c r="AW54"/>
  <c r="AS54"/>
  <c r="AO54"/>
  <c r="AK54"/>
  <c r="AG54"/>
  <c r="AC54"/>
  <c r="Y54"/>
  <c r="U54"/>
  <c r="Q54"/>
  <c r="M54"/>
  <c r="AT53"/>
  <c r="AP53"/>
  <c r="AL53"/>
  <c r="AH53"/>
  <c r="AD53"/>
  <c r="Z53"/>
  <c r="V53"/>
  <c r="R53"/>
  <c r="N53"/>
  <c r="J53"/>
  <c r="AV53"/>
  <c r="AR53"/>
  <c r="AN53"/>
  <c r="AJ53"/>
  <c r="AF53"/>
  <c r="AB53"/>
  <c r="X53"/>
  <c r="T53"/>
  <c r="P53"/>
  <c r="L53"/>
  <c r="AU50"/>
  <c r="AQ50"/>
  <c r="AM50"/>
  <c r="AI50"/>
  <c r="AE50"/>
  <c r="AA50"/>
  <c r="W50"/>
  <c r="S50"/>
  <c r="O50"/>
  <c r="K50"/>
  <c r="AW50"/>
  <c r="AS50"/>
  <c r="AO50"/>
  <c r="AK50"/>
  <c r="AG50"/>
  <c r="AC50"/>
  <c r="Y50"/>
  <c r="U50"/>
  <c r="Q50"/>
  <c r="M50"/>
  <c r="AT49"/>
  <c r="AP49"/>
  <c r="AL49"/>
  <c r="AH49"/>
  <c r="AD49"/>
  <c r="Z49"/>
  <c r="V49"/>
  <c r="R49"/>
  <c r="N49"/>
  <c r="J49"/>
  <c r="AV49"/>
  <c r="AR49"/>
  <c r="AN49"/>
  <c r="AJ49"/>
  <c r="AF49"/>
  <c r="AB49"/>
  <c r="X49"/>
  <c r="T49"/>
  <c r="P49"/>
  <c r="L49"/>
  <c r="AU46"/>
  <c r="AQ46"/>
  <c r="AM46"/>
  <c r="AI46"/>
  <c r="AE46"/>
  <c r="AA46"/>
  <c r="W46"/>
  <c r="S46"/>
  <c r="O46"/>
  <c r="K46"/>
  <c r="AW46"/>
  <c r="AS46"/>
  <c r="AO46"/>
  <c r="AK46"/>
  <c r="AG46"/>
  <c r="AC46"/>
  <c r="Y46"/>
  <c r="U46"/>
  <c r="Q46"/>
  <c r="M46"/>
  <c r="AT45"/>
  <c r="AP45"/>
  <c r="AL45"/>
  <c r="AH45"/>
  <c r="AD45"/>
  <c r="Z45"/>
  <c r="V45"/>
  <c r="R45"/>
  <c r="N45"/>
  <c r="J45"/>
  <c r="AV45"/>
  <c r="AR45"/>
  <c r="AN45"/>
  <c r="AJ45"/>
  <c r="AF45"/>
  <c r="AB45"/>
  <c r="X45"/>
  <c r="T45"/>
  <c r="P45"/>
  <c r="L45"/>
  <c r="AU42"/>
  <c r="AQ42"/>
  <c r="AM42"/>
  <c r="AI42"/>
  <c r="AE42"/>
  <c r="AA42"/>
  <c r="W42"/>
  <c r="S42"/>
  <c r="O42"/>
  <c r="K42"/>
  <c r="AW42"/>
  <c r="AS42"/>
  <c r="AO42"/>
  <c r="AK42"/>
  <c r="AG42"/>
  <c r="AC42"/>
  <c r="Y42"/>
  <c r="U42"/>
  <c r="Q42"/>
  <c r="M42"/>
  <c r="AT41"/>
  <c r="AP41"/>
  <c r="AL41"/>
  <c r="AH41"/>
  <c r="AD41"/>
  <c r="Z41"/>
  <c r="V41"/>
  <c r="R41"/>
  <c r="N41"/>
  <c r="J41"/>
  <c r="AV41"/>
  <c r="AR41"/>
  <c r="AN41"/>
  <c r="AJ41"/>
  <c r="AF41"/>
  <c r="AB41"/>
  <c r="X41"/>
  <c r="T41"/>
  <c r="P41"/>
  <c r="L41"/>
  <c r="AU38"/>
  <c r="AQ38"/>
  <c r="AM38"/>
  <c r="AI38"/>
  <c r="AE38"/>
  <c r="AA38"/>
  <c r="W38"/>
  <c r="S38"/>
  <c r="O38"/>
  <c r="K38"/>
  <c r="AW38"/>
  <c r="AS38"/>
  <c r="AO38"/>
  <c r="AK38"/>
  <c r="AG38"/>
  <c r="AC38"/>
  <c r="Y38"/>
  <c r="U38"/>
  <c r="Q38"/>
  <c r="M38"/>
  <c r="AT37"/>
  <c r="AP37"/>
  <c r="AL37"/>
  <c r="AH37"/>
  <c r="AD37"/>
  <c r="Z37"/>
  <c r="V37"/>
  <c r="R37"/>
  <c r="N37"/>
  <c r="J37"/>
  <c r="AV37"/>
  <c r="AR37"/>
  <c r="AN37"/>
  <c r="AJ37"/>
  <c r="AF37"/>
  <c r="AB37"/>
  <c r="X37"/>
  <c r="T37"/>
  <c r="P37"/>
  <c r="L37"/>
  <c r="AU34"/>
  <c r="AQ34"/>
  <c r="AM34"/>
  <c r="AI34"/>
  <c r="AE34"/>
  <c r="AA34"/>
  <c r="W34"/>
  <c r="S34"/>
  <c r="O34"/>
  <c r="K34"/>
  <c r="AW34"/>
  <c r="AS34"/>
  <c r="AO34"/>
  <c r="AK34"/>
  <c r="AG34"/>
  <c r="AC34"/>
  <c r="Y34"/>
  <c r="U34"/>
  <c r="Q34"/>
  <c r="M34"/>
  <c r="AT33"/>
  <c r="AP33"/>
  <c r="AL33"/>
  <c r="AH33"/>
  <c r="AD33"/>
  <c r="Z33"/>
  <c r="V33"/>
  <c r="R33"/>
  <c r="N33"/>
  <c r="J33"/>
  <c r="AV33"/>
  <c r="AR33"/>
  <c r="AN33"/>
  <c r="AJ33"/>
  <c r="AF33"/>
  <c r="AB33"/>
  <c r="X33"/>
  <c r="T33"/>
  <c r="P33"/>
  <c r="L33"/>
  <c r="AU30"/>
  <c r="AQ30"/>
  <c r="AM30"/>
  <c r="AI30"/>
  <c r="AE30"/>
  <c r="AA30"/>
  <c r="W30"/>
  <c r="S30"/>
  <c r="O30"/>
  <c r="K30"/>
  <c r="AW30"/>
  <c r="AS30"/>
  <c r="AO30"/>
  <c r="AK30"/>
  <c r="AG30"/>
  <c r="AC30"/>
  <c r="Y30"/>
  <c r="U30"/>
  <c r="Q30"/>
  <c r="M30"/>
  <c r="AT29"/>
  <c r="AP29"/>
  <c r="AL29"/>
  <c r="AH29"/>
  <c r="AD29"/>
  <c r="Z29"/>
  <c r="V29"/>
  <c r="R29"/>
  <c r="N29"/>
  <c r="J29"/>
  <c r="AV29"/>
  <c r="AR29"/>
  <c r="AN29"/>
  <c r="AJ29"/>
  <c r="AF29"/>
  <c r="AB29"/>
  <c r="X29"/>
  <c r="T29"/>
  <c r="P29"/>
  <c r="L29"/>
  <c r="AU26"/>
  <c r="AQ26"/>
  <c r="AM26"/>
  <c r="AI26"/>
  <c r="AE26"/>
  <c r="AA26"/>
  <c r="W26"/>
  <c r="S26"/>
  <c r="O26"/>
  <c r="K26"/>
  <c r="AW26"/>
  <c r="AS26"/>
  <c r="AO26"/>
  <c r="AK26"/>
  <c r="AG26"/>
  <c r="AC26"/>
  <c r="Y26"/>
  <c r="U26"/>
  <c r="Q26"/>
  <c r="M26"/>
  <c r="AT25"/>
  <c r="AP25"/>
  <c r="AL25"/>
  <c r="AH25"/>
  <c r="AD25"/>
  <c r="Z25"/>
  <c r="V25"/>
  <c r="R25"/>
  <c r="N25"/>
  <c r="J25"/>
  <c r="AV25"/>
  <c r="AR25"/>
  <c r="AN25"/>
  <c r="AJ25"/>
  <c r="AF25"/>
  <c r="AB25"/>
  <c r="X25"/>
  <c r="T25"/>
  <c r="P25"/>
  <c r="L25"/>
  <c r="AU36" i="48"/>
  <c r="AQ36"/>
  <c r="AM36"/>
  <c r="AI36"/>
  <c r="AE36"/>
  <c r="AA36"/>
  <c r="W36"/>
  <c r="S36"/>
  <c r="O36"/>
  <c r="K36"/>
  <c r="AW36"/>
  <c r="AS36"/>
  <c r="AO36"/>
  <c r="AK36"/>
  <c r="AG36"/>
  <c r="AC36"/>
  <c r="Y36"/>
  <c r="U36"/>
  <c r="Q36"/>
  <c r="M36"/>
  <c r="AT35"/>
  <c r="AP35"/>
  <c r="AL35"/>
  <c r="AH35"/>
  <c r="AD35"/>
  <c r="Z35"/>
  <c r="V35"/>
  <c r="R35"/>
  <c r="N35"/>
  <c r="J35"/>
  <c r="AV35"/>
  <c r="AR35"/>
  <c r="AN35"/>
  <c r="AJ35"/>
  <c r="AF35"/>
  <c r="AB35"/>
  <c r="X35"/>
  <c r="T35"/>
  <c r="P35"/>
  <c r="L35"/>
  <c r="AU32"/>
  <c r="AQ32"/>
  <c r="AM32"/>
  <c r="AI32"/>
  <c r="AE32"/>
  <c r="AA32"/>
  <c r="W32"/>
  <c r="S32"/>
  <c r="O32"/>
  <c r="K32"/>
  <c r="AW32"/>
  <c r="AS32"/>
  <c r="AO32"/>
  <c r="AK32"/>
  <c r="AG32"/>
  <c r="AC32"/>
  <c r="Y32"/>
  <c r="U32"/>
  <c r="Q32"/>
  <c r="M32"/>
  <c r="AT31"/>
  <c r="AP31"/>
  <c r="AL31"/>
  <c r="AH31"/>
  <c r="AD31"/>
  <c r="Z31"/>
  <c r="V31"/>
  <c r="R31"/>
  <c r="N31"/>
  <c r="J31"/>
  <c r="AV31"/>
  <c r="AR31"/>
  <c r="AN31"/>
  <c r="AJ31"/>
  <c r="AF31"/>
  <c r="AB31"/>
  <c r="X31"/>
  <c r="T31"/>
  <c r="P31"/>
  <c r="L31"/>
  <c r="AU28"/>
  <c r="AQ28"/>
  <c r="AM28"/>
  <c r="AI28"/>
  <c r="AE28"/>
  <c r="AA28"/>
  <c r="W28"/>
  <c r="S28"/>
  <c r="O28"/>
  <c r="K28"/>
  <c r="AW28"/>
  <c r="AS28"/>
  <c r="AO28"/>
  <c r="AK28"/>
  <c r="AG28"/>
  <c r="AC28"/>
  <c r="Y28"/>
  <c r="U28"/>
  <c r="Q28"/>
  <c r="M28"/>
  <c r="AT27"/>
  <c r="AP27"/>
  <c r="AL27"/>
  <c r="AH27"/>
  <c r="AD27"/>
  <c r="Z27"/>
  <c r="V27"/>
  <c r="R27"/>
  <c r="N27"/>
  <c r="J27"/>
  <c r="AV27"/>
  <c r="AR27"/>
  <c r="AN27"/>
  <c r="AJ27"/>
  <c r="AF27"/>
  <c r="AB27"/>
  <c r="X27"/>
  <c r="T27"/>
  <c r="P27"/>
  <c r="L27"/>
  <c r="AU24"/>
  <c r="AQ24"/>
  <c r="AM24"/>
  <c r="AI24"/>
  <c r="AE24"/>
  <c r="AA24"/>
  <c r="W24"/>
  <c r="S24"/>
  <c r="O24"/>
  <c r="K24"/>
  <c r="AW24"/>
  <c r="AS24"/>
  <c r="AO24"/>
  <c r="AK24"/>
  <c r="AG24"/>
  <c r="AC24"/>
  <c r="Y24"/>
  <c r="U24"/>
  <c r="Q24"/>
  <c r="M24"/>
  <c r="AT23"/>
  <c r="AP23"/>
  <c r="AV23"/>
  <c r="AR23"/>
  <c r="AL23"/>
  <c r="AH23"/>
  <c r="AD23"/>
  <c r="Z23"/>
  <c r="V23"/>
  <c r="R23"/>
  <c r="N23"/>
  <c r="J23"/>
  <c r="AN23"/>
  <c r="AJ23"/>
  <c r="AF23"/>
  <c r="AB23"/>
  <c r="X23"/>
  <c r="T23"/>
  <c r="P23"/>
  <c r="L23"/>
  <c r="AU20"/>
  <c r="AQ20"/>
  <c r="AM20"/>
  <c r="AI20"/>
  <c r="AE20"/>
  <c r="AA20"/>
  <c r="W20"/>
  <c r="S20"/>
  <c r="O20"/>
  <c r="K20"/>
  <c r="AW20"/>
  <c r="AS20"/>
  <c r="AO20"/>
  <c r="AK20"/>
  <c r="AG20"/>
  <c r="AC20"/>
  <c r="Y20"/>
  <c r="U20"/>
  <c r="Q20"/>
  <c r="M20"/>
  <c r="AT19"/>
  <c r="AP19"/>
  <c r="AL19"/>
  <c r="AH19"/>
  <c r="AD19"/>
  <c r="Z19"/>
  <c r="V19"/>
  <c r="R19"/>
  <c r="N19"/>
  <c r="J19"/>
  <c r="AV19"/>
  <c r="AR19"/>
  <c r="AN19"/>
  <c r="AJ19"/>
  <c r="AF19"/>
  <c r="AB19"/>
  <c r="X19"/>
  <c r="T19"/>
  <c r="P19"/>
  <c r="L19"/>
  <c r="AU16"/>
  <c r="AQ16"/>
  <c r="AM16"/>
  <c r="AI16"/>
  <c r="AE16"/>
  <c r="AA16"/>
  <c r="W16"/>
  <c r="S16"/>
  <c r="O16"/>
  <c r="K16"/>
  <c r="AW16"/>
  <c r="AS16"/>
  <c r="AO16"/>
  <c r="AK16"/>
  <c r="AG16"/>
  <c r="AC16"/>
  <c r="Y16"/>
  <c r="U16"/>
  <c r="Q16"/>
  <c r="M16"/>
  <c r="AT15"/>
  <c r="AP15"/>
  <c r="AL15"/>
  <c r="AH15"/>
  <c r="AD15"/>
  <c r="Z15"/>
  <c r="V15"/>
  <c r="R15"/>
  <c r="N15"/>
  <c r="J15"/>
  <c r="AV15"/>
  <c r="AR15"/>
  <c r="AN15"/>
  <c r="AJ15"/>
  <c r="AF15"/>
  <c r="AB15"/>
  <c r="X15"/>
  <c r="T15"/>
  <c r="P15"/>
  <c r="L15"/>
  <c r="AU12"/>
  <c r="AQ12"/>
  <c r="AM12"/>
  <c r="AI12"/>
  <c r="AE12"/>
  <c r="AA12"/>
  <c r="W12"/>
  <c r="S12"/>
  <c r="O12"/>
  <c r="K12"/>
  <c r="AW12"/>
  <c r="AS12"/>
  <c r="AO12"/>
  <c r="AK12"/>
  <c r="AG12"/>
  <c r="AC12"/>
  <c r="Y12"/>
  <c r="U12"/>
  <c r="Q12"/>
  <c r="M12"/>
  <c r="AT52"/>
  <c r="AP52"/>
  <c r="AL52"/>
  <c r="AH52"/>
  <c r="AD52"/>
  <c r="Z52"/>
  <c r="V52"/>
  <c r="R52"/>
  <c r="N52"/>
  <c r="J52"/>
  <c r="AV52"/>
  <c r="AR52"/>
  <c r="AN52"/>
  <c r="AJ52"/>
  <c r="AF52"/>
  <c r="AB52"/>
  <c r="X52"/>
  <c r="T52"/>
  <c r="P52"/>
  <c r="L52"/>
  <c r="AU49"/>
  <c r="AQ49"/>
  <c r="AM49"/>
  <c r="AI49"/>
  <c r="AE49"/>
  <c r="AA49"/>
  <c r="W49"/>
  <c r="S49"/>
  <c r="O49"/>
  <c r="K49"/>
  <c r="AW49"/>
  <c r="AS49"/>
  <c r="AO49"/>
  <c r="AK49"/>
  <c r="AG49"/>
  <c r="AC49"/>
  <c r="Y49"/>
  <c r="U49"/>
  <c r="Q49"/>
  <c r="M49"/>
  <c r="AT48"/>
  <c r="AP48"/>
  <c r="AL48"/>
  <c r="AH48"/>
  <c r="AD48"/>
  <c r="Z48"/>
  <c r="V48"/>
  <c r="R48"/>
  <c r="N48"/>
  <c r="J48"/>
  <c r="AV48"/>
  <c r="AR48"/>
  <c r="AN48"/>
  <c r="AJ48"/>
  <c r="AF48"/>
  <c r="AB48"/>
  <c r="X48"/>
  <c r="T48"/>
  <c r="P48"/>
  <c r="L48"/>
  <c r="AU45"/>
  <c r="AQ45"/>
  <c r="AM45"/>
  <c r="AI45"/>
  <c r="AE45"/>
  <c r="AA45"/>
  <c r="W45"/>
  <c r="S45"/>
  <c r="O45"/>
  <c r="K45"/>
  <c r="AW45"/>
  <c r="AS45"/>
  <c r="AO45"/>
  <c r="AK45"/>
  <c r="AG45"/>
  <c r="AC45"/>
  <c r="Y45"/>
  <c r="U45"/>
  <c r="Q45"/>
  <c r="M45"/>
  <c r="AT44"/>
  <c r="AP44"/>
  <c r="AL44"/>
  <c r="AH44"/>
  <c r="AD44"/>
  <c r="Z44"/>
  <c r="V44"/>
  <c r="R44"/>
  <c r="N44"/>
  <c r="J44"/>
  <c r="AV44"/>
  <c r="AR44"/>
  <c r="AN44"/>
  <c r="AJ44"/>
  <c r="AF44"/>
  <c r="AB44"/>
  <c r="X44"/>
  <c r="T44"/>
  <c r="P44"/>
  <c r="L44"/>
  <c r="AU41"/>
  <c r="AQ41"/>
  <c r="AM41"/>
  <c r="AI41"/>
  <c r="AE41"/>
  <c r="AA41"/>
  <c r="W41"/>
  <c r="S41"/>
  <c r="O41"/>
  <c r="K41"/>
  <c r="AW41"/>
  <c r="AS41"/>
  <c r="AO41"/>
  <c r="AK41"/>
  <c r="AG41"/>
  <c r="AC41"/>
  <c r="Y41"/>
  <c r="U41"/>
  <c r="Q41"/>
  <c r="M41"/>
  <c r="AT40"/>
  <c r="AP40"/>
  <c r="AL40"/>
  <c r="AH40"/>
  <c r="AD40"/>
  <c r="Z40"/>
  <c r="V40"/>
  <c r="R40"/>
  <c r="N40"/>
  <c r="J40"/>
  <c r="AV40"/>
  <c r="AR40"/>
  <c r="AN40"/>
  <c r="AJ40"/>
  <c r="AF40"/>
  <c r="AB40"/>
  <c r="X40"/>
  <c r="T40"/>
  <c r="P40"/>
  <c r="L40"/>
  <c r="AU54"/>
  <c r="AQ54"/>
  <c r="AM54"/>
  <c r="AI54"/>
  <c r="AE54"/>
  <c r="AA54"/>
  <c r="W54"/>
  <c r="S54"/>
  <c r="O54"/>
  <c r="K54"/>
  <c r="AW54"/>
  <c r="AS54"/>
  <c r="AO54"/>
  <c r="AK54"/>
  <c r="AG54"/>
  <c r="AC54"/>
  <c r="Y54"/>
  <c r="U54"/>
  <c r="Q54"/>
  <c r="M54"/>
  <c r="AT53"/>
  <c r="AP53"/>
  <c r="AL53"/>
  <c r="AH53"/>
  <c r="AD53"/>
  <c r="Z53"/>
  <c r="V53"/>
  <c r="R53"/>
  <c r="N53"/>
  <c r="J53"/>
  <c r="AV53"/>
  <c r="AR53"/>
  <c r="AN53"/>
  <c r="AJ53"/>
  <c r="AF53"/>
  <c r="AB53"/>
  <c r="X53"/>
  <c r="T53"/>
  <c r="P53"/>
  <c r="L53"/>
  <c r="AU35" i="49"/>
  <c r="AQ35"/>
  <c r="AM35"/>
  <c r="AI35"/>
  <c r="AE35"/>
  <c r="AA35"/>
  <c r="W35"/>
  <c r="S35"/>
  <c r="O35"/>
  <c r="K35"/>
  <c r="AW35"/>
  <c r="AS35"/>
  <c r="AO35"/>
  <c r="AK35"/>
  <c r="AG35"/>
  <c r="AC35"/>
  <c r="Y35"/>
  <c r="U35"/>
  <c r="Q35"/>
  <c r="M35"/>
  <c r="AT34"/>
  <c r="AP34"/>
  <c r="AL34"/>
  <c r="AH34"/>
  <c r="AD34"/>
  <c r="Z34"/>
  <c r="V34"/>
  <c r="R34"/>
  <c r="N34"/>
  <c r="J34"/>
  <c r="AV34"/>
  <c r="AR34"/>
  <c r="AN34"/>
  <c r="AJ34"/>
  <c r="AF34"/>
  <c r="AB34"/>
  <c r="X34"/>
  <c r="T34"/>
  <c r="P34"/>
  <c r="L34"/>
  <c r="AU31"/>
  <c r="AQ31"/>
  <c r="AM31"/>
  <c r="AI31"/>
  <c r="AE31"/>
  <c r="AA31"/>
  <c r="W31"/>
  <c r="S31"/>
  <c r="O31"/>
  <c r="K31"/>
  <c r="AW31"/>
  <c r="AS31"/>
  <c r="AO31"/>
  <c r="AK31"/>
  <c r="AG31"/>
  <c r="AC31"/>
  <c r="Y31"/>
  <c r="U31"/>
  <c r="Q31"/>
  <c r="M31"/>
  <c r="AT30"/>
  <c r="AP30"/>
  <c r="AL30"/>
  <c r="AH30"/>
  <c r="AD30"/>
  <c r="Z30"/>
  <c r="V30"/>
  <c r="R30"/>
  <c r="N30"/>
  <c r="J30"/>
  <c r="AV30"/>
  <c r="AR30"/>
  <c r="AN30"/>
  <c r="AJ30"/>
  <c r="AF30"/>
  <c r="AB30"/>
  <c r="X30"/>
  <c r="T30"/>
  <c r="P30"/>
  <c r="L30"/>
  <c r="AU27"/>
  <c r="AQ27"/>
  <c r="AM27"/>
  <c r="AI27"/>
  <c r="AE27"/>
  <c r="AA27"/>
  <c r="W27"/>
  <c r="S27"/>
  <c r="O27"/>
  <c r="K27"/>
  <c r="AW27"/>
  <c r="AS27"/>
  <c r="AO27"/>
  <c r="AK27"/>
  <c r="AG27"/>
  <c r="AC27"/>
  <c r="Y27"/>
  <c r="U27"/>
  <c r="Q27"/>
  <c r="M27"/>
  <c r="AT26"/>
  <c r="AP26"/>
  <c r="AL26"/>
  <c r="AH26"/>
  <c r="AD26"/>
  <c r="Z26"/>
  <c r="V26"/>
  <c r="R26"/>
  <c r="N26"/>
  <c r="J26"/>
  <c r="AV26"/>
  <c r="AR26"/>
  <c r="AN26"/>
  <c r="AJ26"/>
  <c r="AF26"/>
  <c r="AB26"/>
  <c r="X26"/>
  <c r="T26"/>
  <c r="P26"/>
  <c r="L26"/>
  <c r="AU23"/>
  <c r="AQ23"/>
  <c r="AM23"/>
  <c r="AI23"/>
  <c r="AE23"/>
  <c r="AA23"/>
  <c r="W23"/>
  <c r="S23"/>
  <c r="O23"/>
  <c r="K23"/>
  <c r="AW23"/>
  <c r="AS23"/>
  <c r="AO23"/>
  <c r="AK23"/>
  <c r="AG23"/>
  <c r="AC23"/>
  <c r="Y23"/>
  <c r="U23"/>
  <c r="Q23"/>
  <c r="M23"/>
  <c r="AT22"/>
  <c r="AP22"/>
  <c r="AL22"/>
  <c r="AH22"/>
  <c r="AD22"/>
  <c r="Z22"/>
  <c r="V22"/>
  <c r="R22"/>
  <c r="N22"/>
  <c r="J22"/>
  <c r="AV22"/>
  <c r="AR22"/>
  <c r="AN22"/>
  <c r="AJ22"/>
  <c r="AF22"/>
  <c r="AB22"/>
  <c r="X22"/>
  <c r="T22"/>
  <c r="P22"/>
  <c r="L22"/>
  <c r="AU19"/>
  <c r="AQ19"/>
  <c r="AM19"/>
  <c r="AI19"/>
  <c r="AE19"/>
  <c r="AA19"/>
  <c r="W19"/>
  <c r="S19"/>
  <c r="O19"/>
  <c r="K19"/>
  <c r="AW19"/>
  <c r="AS19"/>
  <c r="AO19"/>
  <c r="AK19"/>
  <c r="AG19"/>
  <c r="AC19"/>
  <c r="Y19"/>
  <c r="U19"/>
  <c r="Q19"/>
  <c r="M19"/>
  <c r="AT18"/>
  <c r="AP18"/>
  <c r="AL18"/>
  <c r="AH18"/>
  <c r="AD18"/>
  <c r="Z18"/>
  <c r="V18"/>
  <c r="R18"/>
  <c r="N18"/>
  <c r="J18"/>
  <c r="AV18"/>
  <c r="AR18"/>
  <c r="AN18"/>
  <c r="AJ18"/>
  <c r="AF18"/>
  <c r="AB18"/>
  <c r="X18"/>
  <c r="T18"/>
  <c r="P18"/>
  <c r="L18"/>
  <c r="AU15"/>
  <c r="AQ15"/>
  <c r="AM15"/>
  <c r="AI15"/>
  <c r="AE15"/>
  <c r="AA15"/>
  <c r="W15"/>
  <c r="S15"/>
  <c r="O15"/>
  <c r="K15"/>
  <c r="AW15"/>
  <c r="AS15"/>
  <c r="AO15"/>
  <c r="AK15"/>
  <c r="AG15"/>
  <c r="AC15"/>
  <c r="Y15"/>
  <c r="U15"/>
  <c r="Q15"/>
  <c r="M15"/>
  <c r="AT14"/>
  <c r="AP14"/>
  <c r="AL14"/>
  <c r="AH14"/>
  <c r="AD14"/>
  <c r="Z14"/>
  <c r="V14"/>
  <c r="R14"/>
  <c r="N14"/>
  <c r="J14"/>
  <c r="AV14"/>
  <c r="AR14"/>
  <c r="AN14"/>
  <c r="AJ14"/>
  <c r="AF14"/>
  <c r="AB14"/>
  <c r="X14"/>
  <c r="T14"/>
  <c r="P14"/>
  <c r="L14"/>
  <c r="AU75" i="50"/>
  <c r="AQ75"/>
  <c r="AM75"/>
  <c r="AI75"/>
  <c r="AE75"/>
  <c r="AA75"/>
  <c r="W75"/>
  <c r="S75"/>
  <c r="O75"/>
  <c r="K75"/>
  <c r="AW75"/>
  <c r="AS75"/>
  <c r="AO75"/>
  <c r="AK75"/>
  <c r="AG75"/>
  <c r="AC75"/>
  <c r="Y75"/>
  <c r="U75"/>
  <c r="Q75"/>
  <c r="M75"/>
  <c r="AT74"/>
  <c r="AP74"/>
  <c r="AL74"/>
  <c r="AH74"/>
  <c r="AD74"/>
  <c r="Z74"/>
  <c r="V74"/>
  <c r="R74"/>
  <c r="N74"/>
  <c r="J74"/>
  <c r="AV74"/>
  <c r="AR74"/>
  <c r="AN74"/>
  <c r="AJ74"/>
  <c r="AF74"/>
  <c r="AB74"/>
  <c r="X74"/>
  <c r="T74"/>
  <c r="P74"/>
  <c r="L74"/>
  <c r="AU71"/>
  <c r="AQ71"/>
  <c r="AM71"/>
  <c r="AI71"/>
  <c r="AE71"/>
  <c r="AA71"/>
  <c r="W71"/>
  <c r="S71"/>
  <c r="O71"/>
  <c r="K71"/>
  <c r="AW71"/>
  <c r="AS71"/>
  <c r="AO71"/>
  <c r="AK71"/>
  <c r="AG71"/>
  <c r="AC71"/>
  <c r="Y71"/>
  <c r="U71"/>
  <c r="Q71"/>
  <c r="M71"/>
  <c r="AT70"/>
  <c r="AP70"/>
  <c r="AL70"/>
  <c r="AH70"/>
  <c r="AD70"/>
  <c r="Z70"/>
  <c r="V70"/>
  <c r="R70"/>
  <c r="N70"/>
  <c r="J70"/>
  <c r="AV70"/>
  <c r="AR70"/>
  <c r="AN70"/>
  <c r="AJ70"/>
  <c r="AF70"/>
  <c r="AB70"/>
  <c r="X70"/>
  <c r="T70"/>
  <c r="P70"/>
  <c r="L70"/>
  <c r="AU67"/>
  <c r="AQ67"/>
  <c r="AM67"/>
  <c r="AI67"/>
  <c r="AE67"/>
  <c r="AA67"/>
  <c r="W67"/>
  <c r="S67"/>
  <c r="O67"/>
  <c r="K67"/>
  <c r="AW67"/>
  <c r="AS67"/>
  <c r="AO67"/>
  <c r="AK67"/>
  <c r="AG67"/>
  <c r="AC67"/>
  <c r="Y67"/>
  <c r="U67"/>
  <c r="Q67"/>
  <c r="M67"/>
  <c r="AT66"/>
  <c r="AP66"/>
  <c r="AL66"/>
  <c r="AH66"/>
  <c r="AD66"/>
  <c r="Z66"/>
  <c r="V66"/>
  <c r="R66"/>
  <c r="N66"/>
  <c r="J66"/>
  <c r="AV66"/>
  <c r="AR66"/>
  <c r="AN66"/>
  <c r="AJ66"/>
  <c r="AF66"/>
  <c r="AB66"/>
  <c r="X66"/>
  <c r="T66"/>
  <c r="P66"/>
  <c r="L66"/>
  <c r="AU63"/>
  <c r="AQ63"/>
  <c r="AM63"/>
  <c r="AI63"/>
  <c r="AE63"/>
  <c r="AA63"/>
  <c r="W63"/>
  <c r="S63"/>
  <c r="O63"/>
  <c r="K63"/>
  <c r="AW63"/>
  <c r="AS63"/>
  <c r="AO63"/>
  <c r="AK63"/>
  <c r="AG63"/>
  <c r="AC63"/>
  <c r="Y63"/>
  <c r="U63"/>
  <c r="Q63"/>
  <c r="M63"/>
  <c r="AT62"/>
  <c r="AP62"/>
  <c r="AL62"/>
  <c r="AH62"/>
  <c r="AD62"/>
  <c r="Z62"/>
  <c r="V62"/>
  <c r="R62"/>
  <c r="N62"/>
  <c r="J62"/>
  <c r="AV62"/>
  <c r="AR62"/>
  <c r="AN62"/>
  <c r="AJ62"/>
  <c r="AF62"/>
  <c r="AB62"/>
  <c r="X62"/>
  <c r="T62"/>
  <c r="P62"/>
  <c r="L62"/>
  <c r="AU59"/>
  <c r="AQ59"/>
  <c r="AM59"/>
  <c r="AI59"/>
  <c r="AE59"/>
  <c r="AA59"/>
  <c r="W59"/>
  <c r="S59"/>
  <c r="O59"/>
  <c r="K59"/>
  <c r="AW59"/>
  <c r="AS59"/>
  <c r="AO59"/>
  <c r="AK59"/>
  <c r="AG59"/>
  <c r="AC59"/>
  <c r="Y59"/>
  <c r="U59"/>
  <c r="Q59"/>
  <c r="M59"/>
  <c r="AT58"/>
  <c r="AP58"/>
  <c r="AL58"/>
  <c r="AH58"/>
  <c r="AD58"/>
  <c r="Z58"/>
  <c r="V58"/>
  <c r="R58"/>
  <c r="N58"/>
  <c r="J58"/>
  <c r="AV58"/>
  <c r="AR58"/>
  <c r="AN58"/>
  <c r="AJ58"/>
  <c r="AF58"/>
  <c r="AB58"/>
  <c r="X58"/>
  <c r="T58"/>
  <c r="P58"/>
  <c r="L58"/>
  <c r="AU55"/>
  <c r="AQ55"/>
  <c r="AM55"/>
  <c r="AI55"/>
  <c r="AE55"/>
  <c r="AA55"/>
  <c r="W55"/>
  <c r="S55"/>
  <c r="O55"/>
  <c r="K55"/>
  <c r="AW55"/>
  <c r="AS55"/>
  <c r="AO55"/>
  <c r="AK55"/>
  <c r="AG55"/>
  <c r="AC55"/>
  <c r="Y55"/>
  <c r="U55"/>
  <c r="Q55"/>
  <c r="M55"/>
  <c r="AT54"/>
  <c r="AP54"/>
  <c r="AL54"/>
  <c r="AH54"/>
  <c r="AD54"/>
  <c r="Z54"/>
  <c r="AV54"/>
  <c r="AR54"/>
  <c r="AN54"/>
  <c r="AJ54"/>
  <c r="AF54"/>
  <c r="AB54"/>
  <c r="V54"/>
  <c r="R54"/>
  <c r="N54"/>
  <c r="J54"/>
  <c r="X54"/>
  <c r="T54"/>
  <c r="P54"/>
  <c r="L54"/>
  <c r="AU51"/>
  <c r="AQ51"/>
  <c r="AM51"/>
  <c r="AI51"/>
  <c r="AE51"/>
  <c r="AA51"/>
  <c r="W51"/>
  <c r="S51"/>
  <c r="O51"/>
  <c r="K51"/>
  <c r="AW51"/>
  <c r="AS51"/>
  <c r="AO51"/>
  <c r="AK51"/>
  <c r="AG51"/>
  <c r="AC51"/>
  <c r="Y51"/>
  <c r="U51"/>
  <c r="Q51"/>
  <c r="M51"/>
  <c r="AT50"/>
  <c r="AP50"/>
  <c r="AL50"/>
  <c r="AH50"/>
  <c r="AD50"/>
  <c r="Z50"/>
  <c r="V50"/>
  <c r="R50"/>
  <c r="N50"/>
  <c r="J50"/>
  <c r="AV50"/>
  <c r="AR50"/>
  <c r="AN50"/>
  <c r="AJ50"/>
  <c r="AF50"/>
  <c r="AB50"/>
  <c r="X50"/>
  <c r="T50"/>
  <c r="P50"/>
  <c r="L50"/>
  <c r="AU47"/>
  <c r="AQ47"/>
  <c r="AM47"/>
  <c r="AI47"/>
  <c r="AE47"/>
  <c r="AA47"/>
  <c r="W47"/>
  <c r="S47"/>
  <c r="O47"/>
  <c r="K47"/>
  <c r="AW47"/>
  <c r="AS47"/>
  <c r="AO47"/>
  <c r="AK47"/>
  <c r="AG47"/>
  <c r="AC47"/>
  <c r="Y47"/>
  <c r="U47"/>
  <c r="Q47"/>
  <c r="M47"/>
  <c r="AT46"/>
  <c r="AP46"/>
  <c r="AL46"/>
  <c r="AH46"/>
  <c r="AD46"/>
  <c r="Z46"/>
  <c r="V46"/>
  <c r="R46"/>
  <c r="N46"/>
  <c r="J46"/>
  <c r="AV46"/>
  <c r="AR46"/>
  <c r="AN46"/>
  <c r="AJ46"/>
  <c r="AF46"/>
  <c r="AB46"/>
  <c r="X46"/>
  <c r="T46"/>
  <c r="P46"/>
  <c r="L46"/>
  <c r="AU43"/>
  <c r="AQ43"/>
  <c r="AM43"/>
  <c r="AI43"/>
  <c r="AE43"/>
  <c r="AA43"/>
  <c r="W43"/>
  <c r="S43"/>
  <c r="O43"/>
  <c r="K43"/>
  <c r="AW43"/>
  <c r="AS43"/>
  <c r="AO43"/>
  <c r="AK43"/>
  <c r="AG43"/>
  <c r="AC43"/>
  <c r="Y43"/>
  <c r="U43"/>
  <c r="Q43"/>
  <c r="M43"/>
  <c r="AT42"/>
  <c r="AP42"/>
  <c r="AL42"/>
  <c r="AH42"/>
  <c r="AD42"/>
  <c r="Z42"/>
  <c r="V42"/>
  <c r="R42"/>
  <c r="N42"/>
  <c r="J42"/>
  <c r="AV42"/>
  <c r="AR42"/>
  <c r="AN42"/>
  <c r="AJ42"/>
  <c r="AF42"/>
  <c r="AB42"/>
  <c r="X42"/>
  <c r="T42"/>
  <c r="P42"/>
  <c r="L42"/>
  <c r="AU39"/>
  <c r="AQ39"/>
  <c r="AM39"/>
  <c r="AI39"/>
  <c r="AE39"/>
  <c r="AA39"/>
  <c r="W39"/>
  <c r="S39"/>
  <c r="O39"/>
  <c r="K39"/>
  <c r="AW39"/>
  <c r="AS39"/>
  <c r="AO39"/>
  <c r="AK39"/>
  <c r="AG39"/>
  <c r="AC39"/>
  <c r="Y39"/>
  <c r="U39"/>
  <c r="Q39"/>
  <c r="M39"/>
  <c r="AT38"/>
  <c r="AP38"/>
  <c r="AL38"/>
  <c r="AH38"/>
  <c r="AD38"/>
  <c r="Z38"/>
  <c r="V38"/>
  <c r="R38"/>
  <c r="N38"/>
  <c r="J38"/>
  <c r="AV38"/>
  <c r="AR38"/>
  <c r="AN38"/>
  <c r="AJ38"/>
  <c r="AF38"/>
  <c r="AB38"/>
  <c r="X38"/>
  <c r="T38"/>
  <c r="P38"/>
  <c r="L38"/>
  <c r="AU35"/>
  <c r="AQ35"/>
  <c r="AM35"/>
  <c r="AI35"/>
  <c r="AE35"/>
  <c r="AA35"/>
  <c r="W35"/>
  <c r="S35"/>
  <c r="O35"/>
  <c r="K35"/>
  <c r="AW35"/>
  <c r="AS35"/>
  <c r="AO35"/>
  <c r="AK35"/>
  <c r="AG35"/>
  <c r="AC35"/>
  <c r="Y35"/>
  <c r="U35"/>
  <c r="Q35"/>
  <c r="M35"/>
  <c r="AT34"/>
  <c r="AP34"/>
  <c r="AL34"/>
  <c r="AH34"/>
  <c r="AD34"/>
  <c r="Z34"/>
  <c r="V34"/>
  <c r="R34"/>
  <c r="N34"/>
  <c r="J34"/>
  <c r="AV34"/>
  <c r="AR34"/>
  <c r="AN34"/>
  <c r="AJ34"/>
  <c r="AF34"/>
  <c r="AB34"/>
  <c r="X34"/>
  <c r="T34"/>
  <c r="P34"/>
  <c r="L34"/>
  <c r="AU31"/>
  <c r="AQ31"/>
  <c r="AM31"/>
  <c r="AI31"/>
  <c r="AE31"/>
  <c r="AA31"/>
  <c r="W31"/>
  <c r="S31"/>
  <c r="O31"/>
  <c r="K31"/>
  <c r="AW31"/>
  <c r="AS31"/>
  <c r="AO31"/>
  <c r="AK31"/>
  <c r="AG31"/>
  <c r="AC31"/>
  <c r="Y31"/>
  <c r="U31"/>
  <c r="Q31"/>
  <c r="M31"/>
  <c r="AT30"/>
  <c r="AP30"/>
  <c r="AL30"/>
  <c r="AH30"/>
  <c r="AD30"/>
  <c r="Z30"/>
  <c r="V30"/>
  <c r="R30"/>
  <c r="N30"/>
  <c r="J30"/>
  <c r="AV30"/>
  <c r="AR30"/>
  <c r="AN30"/>
  <c r="AJ30"/>
  <c r="AF30"/>
  <c r="AB30"/>
  <c r="X30"/>
  <c r="T30"/>
  <c r="P30"/>
  <c r="L30"/>
  <c r="AU27"/>
  <c r="AQ27"/>
  <c r="AM27"/>
  <c r="AI27"/>
  <c r="AE27"/>
  <c r="AA27"/>
  <c r="W27"/>
  <c r="S27"/>
  <c r="O27"/>
  <c r="K27"/>
  <c r="AW27"/>
  <c r="AS27"/>
  <c r="AO27"/>
  <c r="AK27"/>
  <c r="AG27"/>
  <c r="AC27"/>
  <c r="Y27"/>
  <c r="U27"/>
  <c r="Q27"/>
  <c r="M27"/>
  <c r="AT26"/>
  <c r="AP26"/>
  <c r="AL26"/>
  <c r="AH26"/>
  <c r="AD26"/>
  <c r="Z26"/>
  <c r="V26"/>
  <c r="R26"/>
  <c r="N26"/>
  <c r="J26"/>
  <c r="AV26"/>
  <c r="AR26"/>
  <c r="AN26"/>
  <c r="AJ26"/>
  <c r="AF26"/>
  <c r="AB26"/>
  <c r="X26"/>
  <c r="T26"/>
  <c r="P26"/>
  <c r="L26"/>
  <c r="AU24"/>
  <c r="AQ24"/>
  <c r="AM24"/>
  <c r="AI24"/>
  <c r="AE24"/>
  <c r="AA24"/>
  <c r="W24"/>
  <c r="S24"/>
  <c r="O24"/>
  <c r="K24"/>
  <c r="AW24"/>
  <c r="AS24"/>
  <c r="AO24"/>
  <c r="AK24"/>
  <c r="AG24"/>
  <c r="AC24"/>
  <c r="Y24"/>
  <c r="U24"/>
  <c r="Q24"/>
  <c r="M24"/>
  <c r="AT23"/>
  <c r="AP23"/>
  <c r="AL23"/>
  <c r="AH23"/>
  <c r="AD23"/>
  <c r="Z23"/>
  <c r="V23"/>
  <c r="R23"/>
  <c r="N23"/>
  <c r="J23"/>
  <c r="AV23"/>
  <c r="AR23"/>
  <c r="AN23"/>
  <c r="AJ23"/>
  <c r="AF23"/>
  <c r="AB23"/>
  <c r="X23"/>
  <c r="T23"/>
  <c r="P23"/>
  <c r="L23"/>
  <c r="AU20"/>
  <c r="AQ20"/>
  <c r="AM20"/>
  <c r="AI20"/>
  <c r="AE20"/>
  <c r="AA20"/>
  <c r="W20"/>
  <c r="S20"/>
  <c r="O20"/>
  <c r="K20"/>
  <c r="AW20"/>
  <c r="AS20"/>
  <c r="AO20"/>
  <c r="AK20"/>
  <c r="AG20"/>
  <c r="AC20"/>
  <c r="Y20"/>
  <c r="U20"/>
  <c r="Q20"/>
  <c r="M20"/>
  <c r="AT19"/>
  <c r="AP19"/>
  <c r="AL19"/>
  <c r="AH19"/>
  <c r="AD19"/>
  <c r="Z19"/>
  <c r="V19"/>
  <c r="R19"/>
  <c r="N19"/>
  <c r="J19"/>
  <c r="AV19"/>
  <c r="AR19"/>
  <c r="AN19"/>
  <c r="AJ19"/>
  <c r="AF19"/>
  <c r="AB19"/>
  <c r="X19"/>
  <c r="T19"/>
  <c r="P19"/>
  <c r="L19"/>
  <c r="AU16"/>
  <c r="AQ16"/>
  <c r="AM16"/>
  <c r="AI16"/>
  <c r="AE16"/>
  <c r="AA16"/>
  <c r="W16"/>
  <c r="S16"/>
  <c r="O16"/>
  <c r="K16"/>
  <c r="AW16"/>
  <c r="AS16"/>
  <c r="AO16"/>
  <c r="AK16"/>
  <c r="AG16"/>
  <c r="AC16"/>
  <c r="Y16"/>
  <c r="U16"/>
  <c r="Q16"/>
  <c r="M16"/>
  <c r="AT15"/>
  <c r="AP15"/>
  <c r="AL15"/>
  <c r="AH15"/>
  <c r="AD15"/>
  <c r="Z15"/>
  <c r="V15"/>
  <c r="R15"/>
  <c r="N15"/>
  <c r="J15"/>
  <c r="AV15"/>
  <c r="AR15"/>
  <c r="AN15"/>
  <c r="AJ15"/>
  <c r="AF15"/>
  <c r="AB15"/>
  <c r="X15"/>
  <c r="T15"/>
  <c r="P15"/>
  <c r="L15"/>
  <c r="AU12"/>
  <c r="AQ12"/>
  <c r="AM12"/>
  <c r="AI12"/>
  <c r="AE12"/>
  <c r="AA12"/>
  <c r="W12"/>
  <c r="S12"/>
  <c r="O12"/>
  <c r="K12"/>
  <c r="AW12"/>
  <c r="AS12"/>
  <c r="AO12"/>
  <c r="AK12"/>
  <c r="AG12"/>
  <c r="AC12"/>
  <c r="Y12"/>
  <c r="U12"/>
  <c r="Q12"/>
  <c r="M12"/>
  <c r="AT71" i="51"/>
  <c r="AP71"/>
  <c r="AL71"/>
  <c r="AH71"/>
  <c r="AD71"/>
  <c r="Z71"/>
  <c r="V71"/>
  <c r="R71"/>
  <c r="N71"/>
  <c r="J71"/>
  <c r="AV71"/>
  <c r="AR71"/>
  <c r="AN71"/>
  <c r="AJ71"/>
  <c r="AF71"/>
  <c r="AB71"/>
  <c r="X71"/>
  <c r="T71"/>
  <c r="P71"/>
  <c r="L71"/>
  <c r="AU68"/>
  <c r="AQ68"/>
  <c r="AM68"/>
  <c r="AI68"/>
  <c r="AE68"/>
  <c r="AA68"/>
  <c r="W68"/>
  <c r="S68"/>
  <c r="O68"/>
  <c r="K68"/>
  <c r="AW68"/>
  <c r="AS68"/>
  <c r="AO68"/>
  <c r="AK68"/>
  <c r="AG68"/>
  <c r="AC68"/>
  <c r="Y68"/>
  <c r="U68"/>
  <c r="Q68"/>
  <c r="M68"/>
  <c r="AT67"/>
  <c r="AP67"/>
  <c r="AL67"/>
  <c r="AH67"/>
  <c r="AD67"/>
  <c r="Z67"/>
  <c r="V67"/>
  <c r="R67"/>
  <c r="N67"/>
  <c r="J67"/>
  <c r="AV67"/>
  <c r="AR67"/>
  <c r="AN67"/>
  <c r="AJ67"/>
  <c r="AF67"/>
  <c r="AB67"/>
  <c r="X67"/>
  <c r="T67"/>
  <c r="P67"/>
  <c r="L67"/>
  <c r="AU64"/>
  <c r="AQ64"/>
  <c r="AM64"/>
  <c r="AI64"/>
  <c r="AE64"/>
  <c r="AA64"/>
  <c r="W64"/>
  <c r="S64"/>
  <c r="O64"/>
  <c r="K64"/>
  <c r="AW64"/>
  <c r="AS64"/>
  <c r="AO64"/>
  <c r="AK64"/>
  <c r="AG64"/>
  <c r="AC64"/>
  <c r="Y64"/>
  <c r="U64"/>
  <c r="Q64"/>
  <c r="M64"/>
  <c r="AT63"/>
  <c r="AP63"/>
  <c r="AL63"/>
  <c r="AH63"/>
  <c r="AD63"/>
  <c r="Z63"/>
  <c r="V63"/>
  <c r="R63"/>
  <c r="N63"/>
  <c r="J63"/>
  <c r="AV63"/>
  <c r="AR63"/>
  <c r="AN63"/>
  <c r="AJ63"/>
  <c r="AF63"/>
  <c r="AB63"/>
  <c r="X63"/>
  <c r="T63"/>
  <c r="P63"/>
  <c r="L63"/>
  <c r="AU60"/>
  <c r="AQ60"/>
  <c r="AM60"/>
  <c r="AI60"/>
  <c r="AE60"/>
  <c r="AA60"/>
  <c r="W60"/>
  <c r="S60"/>
  <c r="O60"/>
  <c r="K60"/>
  <c r="AW60"/>
  <c r="AS60"/>
  <c r="AO60"/>
  <c r="AK60"/>
  <c r="AG60"/>
  <c r="AC60"/>
  <c r="Y60"/>
  <c r="U60"/>
  <c r="Q60"/>
  <c r="M60"/>
  <c r="AT59"/>
  <c r="AP59"/>
  <c r="AL59"/>
  <c r="AH59"/>
  <c r="AD59"/>
  <c r="Z59"/>
  <c r="V59"/>
  <c r="R59"/>
  <c r="N59"/>
  <c r="J59"/>
  <c r="AV59"/>
  <c r="AR59"/>
  <c r="AN59"/>
  <c r="AJ59"/>
  <c r="AF59"/>
  <c r="AB59"/>
  <c r="X59"/>
  <c r="T59"/>
  <c r="P59"/>
  <c r="L59"/>
  <c r="AU56"/>
  <c r="AQ56"/>
  <c r="AM56"/>
  <c r="AI56"/>
  <c r="AE56"/>
  <c r="AA56"/>
  <c r="W56"/>
  <c r="S56"/>
  <c r="O56"/>
  <c r="K56"/>
  <c r="AW56"/>
  <c r="AS56"/>
  <c r="AO56"/>
  <c r="AK56"/>
  <c r="AG56"/>
  <c r="AC56"/>
  <c r="Y56"/>
  <c r="U56"/>
  <c r="Q56"/>
  <c r="M56"/>
  <c r="AT55"/>
  <c r="AP55"/>
  <c r="AL55"/>
  <c r="AH55"/>
  <c r="AD55"/>
  <c r="Z55"/>
  <c r="V55"/>
  <c r="R55"/>
  <c r="N55"/>
  <c r="J55"/>
  <c r="AV55"/>
  <c r="AR55"/>
  <c r="AN55"/>
  <c r="AJ55"/>
  <c r="AF55"/>
  <c r="AB55"/>
  <c r="X55"/>
  <c r="T55"/>
  <c r="P55"/>
  <c r="L55"/>
  <c r="AU52"/>
  <c r="AQ52"/>
  <c r="AM52"/>
  <c r="AI52"/>
  <c r="AE52"/>
  <c r="AA52"/>
  <c r="W52"/>
  <c r="S52"/>
  <c r="O52"/>
  <c r="K52"/>
  <c r="AW52"/>
  <c r="AS52"/>
  <c r="AO52"/>
  <c r="AK52"/>
  <c r="AG52"/>
  <c r="AC52"/>
  <c r="Y52"/>
  <c r="U52"/>
  <c r="Q52"/>
  <c r="M52"/>
  <c r="AT51"/>
  <c r="AP51"/>
  <c r="AL51"/>
  <c r="AH51"/>
  <c r="AD51"/>
  <c r="Z51"/>
  <c r="V51"/>
  <c r="R51"/>
  <c r="N51"/>
  <c r="J51"/>
  <c r="AV51"/>
  <c r="AR51"/>
  <c r="AN51"/>
  <c r="AJ51"/>
  <c r="AF51"/>
  <c r="AB51"/>
  <c r="X51"/>
  <c r="T51"/>
  <c r="P51"/>
  <c r="L51"/>
  <c r="AU48"/>
  <c r="AQ48"/>
  <c r="AM48"/>
  <c r="AI48"/>
  <c r="AE48"/>
  <c r="AA48"/>
  <c r="W48"/>
  <c r="S48"/>
  <c r="O48"/>
  <c r="K48"/>
  <c r="AW48"/>
  <c r="AS48"/>
  <c r="AO48"/>
  <c r="AK48"/>
  <c r="AG48"/>
  <c r="AC48"/>
  <c r="Y48"/>
  <c r="U48"/>
  <c r="Q48"/>
  <c r="M48"/>
  <c r="AT47"/>
  <c r="AP47"/>
  <c r="AL47"/>
  <c r="AH47"/>
  <c r="AD47"/>
  <c r="Z47"/>
  <c r="V47"/>
  <c r="R47"/>
  <c r="N47"/>
  <c r="J47"/>
  <c r="AV47"/>
  <c r="AR47"/>
  <c r="AN47"/>
  <c r="AJ47"/>
  <c r="AF47"/>
  <c r="AB47"/>
  <c r="X47"/>
  <c r="T47"/>
  <c r="P47"/>
  <c r="L47"/>
  <c r="AU44"/>
  <c r="AQ44"/>
  <c r="AM44"/>
  <c r="AI44"/>
  <c r="AE44"/>
  <c r="AA44"/>
  <c r="W44"/>
  <c r="S44"/>
  <c r="O44"/>
  <c r="K44"/>
  <c r="AW44"/>
  <c r="AS44"/>
  <c r="AO44"/>
  <c r="AK44"/>
  <c r="AG44"/>
  <c r="AC44"/>
  <c r="Y44"/>
  <c r="U44"/>
  <c r="Q44"/>
  <c r="M44"/>
  <c r="AT43"/>
  <c r="AP43"/>
  <c r="AL43"/>
  <c r="AH43"/>
  <c r="AD43"/>
  <c r="Z43"/>
  <c r="V43"/>
  <c r="R43"/>
  <c r="N43"/>
  <c r="J43"/>
  <c r="AV43"/>
  <c r="AR43"/>
  <c r="AN43"/>
  <c r="AJ43"/>
  <c r="AF43"/>
  <c r="AB43"/>
  <c r="X43"/>
  <c r="T43"/>
  <c r="P43"/>
  <c r="L43"/>
  <c r="AU40"/>
  <c r="AQ40"/>
  <c r="AM40"/>
  <c r="AI40"/>
  <c r="AE40"/>
  <c r="AA40"/>
  <c r="W40"/>
  <c r="S40"/>
  <c r="O40"/>
  <c r="K40"/>
  <c r="AW40"/>
  <c r="AS40"/>
  <c r="AO40"/>
  <c r="AK40"/>
  <c r="AG40"/>
  <c r="AC40"/>
  <c r="Y40"/>
  <c r="U40"/>
  <c r="Q40"/>
  <c r="M40"/>
  <c r="AT39"/>
  <c r="AP39"/>
  <c r="AL39"/>
  <c r="AH39"/>
  <c r="AD39"/>
  <c r="Z39"/>
  <c r="V39"/>
  <c r="R39"/>
  <c r="N39"/>
  <c r="J39"/>
  <c r="AV39"/>
  <c r="AR39"/>
  <c r="AN39"/>
  <c r="AJ39"/>
  <c r="AF39"/>
  <c r="AB39"/>
  <c r="X39"/>
  <c r="T39"/>
  <c r="P39"/>
  <c r="L39"/>
  <c r="AU36"/>
  <c r="AQ36"/>
  <c r="AM36"/>
  <c r="AI36"/>
  <c r="AE36"/>
  <c r="AA36"/>
  <c r="W36"/>
  <c r="S36"/>
  <c r="O36"/>
  <c r="K36"/>
  <c r="AW36"/>
  <c r="AS36"/>
  <c r="AO36"/>
  <c r="AK36"/>
  <c r="AG36"/>
  <c r="AC36"/>
  <c r="Y36"/>
  <c r="U36"/>
  <c r="Q36"/>
  <c r="M36"/>
  <c r="AT35"/>
  <c r="AP35"/>
  <c r="AL35"/>
  <c r="AH35"/>
  <c r="AD35"/>
  <c r="Z35"/>
  <c r="V35"/>
  <c r="R35"/>
  <c r="N35"/>
  <c r="J35"/>
  <c r="AV35"/>
  <c r="AR35"/>
  <c r="AN35"/>
  <c r="AJ35"/>
  <c r="AF35"/>
  <c r="AB35"/>
  <c r="X35"/>
  <c r="T35"/>
  <c r="P35"/>
  <c r="L35"/>
  <c r="AU32"/>
  <c r="AQ32"/>
  <c r="AM32"/>
  <c r="AI32"/>
  <c r="AE32"/>
  <c r="AA32"/>
  <c r="W32"/>
  <c r="S32"/>
  <c r="O32"/>
  <c r="K32"/>
  <c r="AW32"/>
  <c r="AS32"/>
  <c r="AO32"/>
  <c r="AK32"/>
  <c r="AG32"/>
  <c r="AC32"/>
  <c r="Y32"/>
  <c r="U32"/>
  <c r="Q32"/>
  <c r="M32"/>
  <c r="AT31"/>
  <c r="AP31"/>
  <c r="AL31"/>
  <c r="AH31"/>
  <c r="AD31"/>
  <c r="Z31"/>
  <c r="V31"/>
  <c r="R31"/>
  <c r="N31"/>
  <c r="J31"/>
  <c r="AV31"/>
  <c r="AR31"/>
  <c r="AN31"/>
  <c r="AJ31"/>
  <c r="AF31"/>
  <c r="AB31"/>
  <c r="X31"/>
  <c r="T31"/>
  <c r="P31"/>
  <c r="L31"/>
  <c r="AU28"/>
  <c r="AQ28"/>
  <c r="AM28"/>
  <c r="AI28"/>
  <c r="AE28"/>
  <c r="AA28"/>
  <c r="W28"/>
  <c r="S28"/>
  <c r="O28"/>
  <c r="K28"/>
  <c r="AW28"/>
  <c r="AS28"/>
  <c r="AO28"/>
  <c r="AK28"/>
  <c r="AG28"/>
  <c r="AC28"/>
  <c r="Y28"/>
  <c r="U28"/>
  <c r="Q28"/>
  <c r="M28"/>
  <c r="AT27"/>
  <c r="AP27"/>
  <c r="AL27"/>
  <c r="AH27"/>
  <c r="AD27"/>
  <c r="Z27"/>
  <c r="V27"/>
  <c r="R27"/>
  <c r="N27"/>
  <c r="J27"/>
  <c r="AV27"/>
  <c r="AR27"/>
  <c r="AN27"/>
  <c r="AJ27"/>
  <c r="AF27"/>
  <c r="AB27"/>
  <c r="X27"/>
  <c r="T27"/>
  <c r="P27"/>
  <c r="L27"/>
  <c r="AU24"/>
  <c r="AQ24"/>
  <c r="AM24"/>
  <c r="AI24"/>
  <c r="AE24"/>
  <c r="AA24"/>
  <c r="W24"/>
  <c r="S24"/>
  <c r="O24"/>
  <c r="K24"/>
  <c r="AW24"/>
  <c r="AS24"/>
  <c r="AO24"/>
  <c r="AK24"/>
  <c r="AG24"/>
  <c r="AC24"/>
  <c r="Y24"/>
  <c r="U24"/>
  <c r="Q24"/>
  <c r="M24"/>
  <c r="AT23"/>
  <c r="AP23"/>
  <c r="AL23"/>
  <c r="AH23"/>
  <c r="AD23"/>
  <c r="Z23"/>
  <c r="V23"/>
  <c r="R23"/>
  <c r="N23"/>
  <c r="J23"/>
  <c r="AV23"/>
  <c r="AR23"/>
  <c r="AN23"/>
  <c r="AJ23"/>
  <c r="AF23"/>
  <c r="AB23"/>
  <c r="X23"/>
  <c r="T23"/>
  <c r="P23"/>
  <c r="L23"/>
  <c r="AU20"/>
  <c r="AQ20"/>
  <c r="AM20"/>
  <c r="AI20"/>
  <c r="AE20"/>
  <c r="AA20"/>
  <c r="W20"/>
  <c r="S20"/>
  <c r="O20"/>
  <c r="K20"/>
  <c r="AW20"/>
  <c r="AS20"/>
  <c r="AO20"/>
  <c r="AK20"/>
  <c r="AG20"/>
  <c r="AC20"/>
  <c r="Y20"/>
  <c r="U20"/>
  <c r="Q20"/>
  <c r="M20"/>
  <c r="AT19"/>
  <c r="AP19"/>
  <c r="AL19"/>
  <c r="AH19"/>
  <c r="AD19"/>
  <c r="Z19"/>
  <c r="V19"/>
  <c r="R19"/>
  <c r="N19"/>
  <c r="J19"/>
  <c r="AV19"/>
  <c r="AR19"/>
  <c r="AN19"/>
  <c r="AJ19"/>
  <c r="AF19"/>
  <c r="AB19"/>
  <c r="X19"/>
  <c r="T19"/>
  <c r="P19"/>
  <c r="L19"/>
  <c r="AU16"/>
  <c r="AQ16"/>
  <c r="AM16"/>
  <c r="AI16"/>
  <c r="AE16"/>
  <c r="AA16"/>
  <c r="W16"/>
  <c r="S16"/>
  <c r="O16"/>
  <c r="K16"/>
  <c r="AW16"/>
  <c r="AS16"/>
  <c r="AO16"/>
  <c r="AK16"/>
  <c r="AG16"/>
  <c r="AC16"/>
  <c r="Y16"/>
  <c r="U16"/>
  <c r="Q16"/>
  <c r="M16"/>
  <c r="AT15"/>
  <c r="AP15"/>
  <c r="AL15"/>
  <c r="AH15"/>
  <c r="AD15"/>
  <c r="Z15"/>
  <c r="V15"/>
  <c r="R15"/>
  <c r="N15"/>
  <c r="J15"/>
  <c r="AV15"/>
  <c r="AR15"/>
  <c r="AN15"/>
  <c r="AJ15"/>
  <c r="AF15"/>
  <c r="AB15"/>
  <c r="X15"/>
  <c r="T15"/>
  <c r="P15"/>
  <c r="L15"/>
  <c r="AU12"/>
  <c r="AQ12"/>
  <c r="AM12"/>
  <c r="AI12"/>
  <c r="AE12"/>
  <c r="AA12"/>
  <c r="W12"/>
  <c r="S12"/>
  <c r="O12"/>
  <c r="K12"/>
  <c r="AW12"/>
  <c r="AS12"/>
  <c r="AO12"/>
  <c r="AK12"/>
  <c r="AG12"/>
  <c r="AC12"/>
  <c r="Y12"/>
  <c r="U12"/>
  <c r="Q12"/>
  <c r="M12"/>
  <c r="AU23" i="50"/>
  <c r="AQ23"/>
  <c r="AM23"/>
  <c r="AI23"/>
  <c r="AE23"/>
  <c r="AA23"/>
  <c r="W23"/>
  <c r="S23"/>
  <c r="O23"/>
  <c r="K23"/>
  <c r="AW23"/>
  <c r="AS23"/>
  <c r="AO23"/>
  <c r="AK23"/>
  <c r="AG23"/>
  <c r="AC23"/>
  <c r="Y23"/>
  <c r="U23"/>
  <c r="Q23"/>
  <c r="M23"/>
  <c r="AT22"/>
  <c r="AP22"/>
  <c r="AL22"/>
  <c r="AH22"/>
  <c r="AD22"/>
  <c r="Z22"/>
  <c r="V22"/>
  <c r="R22"/>
  <c r="N22"/>
  <c r="J22"/>
  <c r="AV22"/>
  <c r="AR22"/>
  <c r="AN22"/>
  <c r="AJ22"/>
  <c r="AF22"/>
  <c r="AB22"/>
  <c r="X22"/>
  <c r="T22"/>
  <c r="P22"/>
  <c r="L22"/>
  <c r="AU19"/>
  <c r="AQ19"/>
  <c r="AM19"/>
  <c r="AI19"/>
  <c r="AE19"/>
  <c r="AA19"/>
  <c r="W19"/>
  <c r="S19"/>
  <c r="O19"/>
  <c r="K19"/>
  <c r="AW19"/>
  <c r="AS19"/>
  <c r="AO19"/>
  <c r="AK19"/>
  <c r="AG19"/>
  <c r="AC19"/>
  <c r="Y19"/>
  <c r="U19"/>
  <c r="Q19"/>
  <c r="M19"/>
  <c r="AT18"/>
  <c r="AP18"/>
  <c r="AL18"/>
  <c r="AH18"/>
  <c r="AD18"/>
  <c r="Z18"/>
  <c r="V18"/>
  <c r="R18"/>
  <c r="N18"/>
  <c r="J18"/>
  <c r="AV18"/>
  <c r="AR18"/>
  <c r="AN18"/>
  <c r="AJ18"/>
  <c r="AF18"/>
  <c r="AB18"/>
  <c r="X18"/>
  <c r="T18"/>
  <c r="P18"/>
  <c r="L18"/>
  <c r="AU15"/>
  <c r="AQ15"/>
  <c r="AM15"/>
  <c r="AI15"/>
  <c r="AE15"/>
  <c r="AA15"/>
  <c r="W15"/>
  <c r="S15"/>
  <c r="O15"/>
  <c r="K15"/>
  <c r="AW15"/>
  <c r="AS15"/>
  <c r="AO15"/>
  <c r="AK15"/>
  <c r="AG15"/>
  <c r="AC15"/>
  <c r="Y15"/>
  <c r="U15"/>
  <c r="Q15"/>
  <c r="M15"/>
  <c r="AT14"/>
  <c r="AP14"/>
  <c r="AL14"/>
  <c r="AH14"/>
  <c r="AD14"/>
  <c r="Z14"/>
  <c r="V14"/>
  <c r="R14"/>
  <c r="N14"/>
  <c r="J14"/>
  <c r="AV14"/>
  <c r="AR14"/>
  <c r="AN14"/>
  <c r="AJ14"/>
  <c r="AF14"/>
  <c r="AB14"/>
  <c r="X14"/>
  <c r="T14"/>
  <c r="P14"/>
  <c r="L14"/>
  <c r="AU71" i="51"/>
  <c r="AQ71"/>
  <c r="AM71"/>
  <c r="AI71"/>
  <c r="AW71"/>
  <c r="AS71"/>
  <c r="AO71"/>
  <c r="AK71"/>
  <c r="AE71"/>
  <c r="AA71"/>
  <c r="W71"/>
  <c r="S71"/>
  <c r="O71"/>
  <c r="K71"/>
  <c r="AG71"/>
  <c r="AC71"/>
  <c r="Y71"/>
  <c r="U71"/>
  <c r="Q71"/>
  <c r="M71"/>
  <c r="AT70"/>
  <c r="AP70"/>
  <c r="AL70"/>
  <c r="AH70"/>
  <c r="AD70"/>
  <c r="Z70"/>
  <c r="V70"/>
  <c r="R70"/>
  <c r="N70"/>
  <c r="J70"/>
  <c r="AV70"/>
  <c r="AR70"/>
  <c r="AN70"/>
  <c r="AJ70"/>
  <c r="AF70"/>
  <c r="AB70"/>
  <c r="X70"/>
  <c r="T70"/>
  <c r="P70"/>
  <c r="L70"/>
  <c r="AU67"/>
  <c r="AQ67"/>
  <c r="AM67"/>
  <c r="AI67"/>
  <c r="AE67"/>
  <c r="AA67"/>
  <c r="W67"/>
  <c r="S67"/>
  <c r="O67"/>
  <c r="K67"/>
  <c r="AW67"/>
  <c r="AS67"/>
  <c r="AO67"/>
  <c r="AK67"/>
  <c r="AG67"/>
  <c r="AC67"/>
  <c r="Y67"/>
  <c r="U67"/>
  <c r="Q67"/>
  <c r="M67"/>
  <c r="AT66"/>
  <c r="AP66"/>
  <c r="AL66"/>
  <c r="AH66"/>
  <c r="AD66"/>
  <c r="Z66"/>
  <c r="V66"/>
  <c r="R66"/>
  <c r="N66"/>
  <c r="J66"/>
  <c r="AV66"/>
  <c r="AR66"/>
  <c r="AN66"/>
  <c r="AJ66"/>
  <c r="AF66"/>
  <c r="AB66"/>
  <c r="X66"/>
  <c r="T66"/>
  <c r="P66"/>
  <c r="L66"/>
  <c r="AU63"/>
  <c r="AQ63"/>
  <c r="AM63"/>
  <c r="AI63"/>
  <c r="AE63"/>
  <c r="AA63"/>
  <c r="W63"/>
  <c r="S63"/>
  <c r="O63"/>
  <c r="K63"/>
  <c r="AW63"/>
  <c r="AS63"/>
  <c r="AO63"/>
  <c r="AK63"/>
  <c r="AG63"/>
  <c r="AC63"/>
  <c r="Y63"/>
  <c r="U63"/>
  <c r="Q63"/>
  <c r="M63"/>
  <c r="AT62"/>
  <c r="AP62"/>
  <c r="AL62"/>
  <c r="AH62"/>
  <c r="AD62"/>
  <c r="Z62"/>
  <c r="V62"/>
  <c r="R62"/>
  <c r="N62"/>
  <c r="J62"/>
  <c r="AV62"/>
  <c r="AR62"/>
  <c r="AN62"/>
  <c r="AJ62"/>
  <c r="AF62"/>
  <c r="AB62"/>
  <c r="X62"/>
  <c r="T62"/>
  <c r="P62"/>
  <c r="L62"/>
  <c r="AU59"/>
  <c r="AQ59"/>
  <c r="AM59"/>
  <c r="AI59"/>
  <c r="AE59"/>
  <c r="AA59"/>
  <c r="W59"/>
  <c r="S59"/>
  <c r="O59"/>
  <c r="K59"/>
  <c r="AW59"/>
  <c r="AS59"/>
  <c r="AO59"/>
  <c r="AK59"/>
  <c r="AG59"/>
  <c r="AC59"/>
  <c r="Y59"/>
  <c r="U59"/>
  <c r="Q59"/>
  <c r="M59"/>
  <c r="AT58"/>
  <c r="AP58"/>
  <c r="AL58"/>
  <c r="AH58"/>
  <c r="AD58"/>
  <c r="Z58"/>
  <c r="V58"/>
  <c r="R58"/>
  <c r="N58"/>
  <c r="J58"/>
  <c r="AV58"/>
  <c r="AR58"/>
  <c r="AN58"/>
  <c r="AJ58"/>
  <c r="AF58"/>
  <c r="AB58"/>
  <c r="X58"/>
  <c r="T58"/>
  <c r="P58"/>
  <c r="L58"/>
  <c r="AU55"/>
  <c r="AQ55"/>
  <c r="AM55"/>
  <c r="AI55"/>
  <c r="AE55"/>
  <c r="AA55"/>
  <c r="W55"/>
  <c r="S55"/>
  <c r="O55"/>
  <c r="K55"/>
  <c r="AW55"/>
  <c r="AS55"/>
  <c r="AO55"/>
  <c r="AK55"/>
  <c r="AG55"/>
  <c r="AC55"/>
  <c r="Y55"/>
  <c r="U55"/>
  <c r="Q55"/>
  <c r="M55"/>
  <c r="AT54"/>
  <c r="AP54"/>
  <c r="AL54"/>
  <c r="AH54"/>
  <c r="AD54"/>
  <c r="Z54"/>
  <c r="V54"/>
  <c r="R54"/>
  <c r="N54"/>
  <c r="J54"/>
  <c r="AV54"/>
  <c r="AR54"/>
  <c r="AN54"/>
  <c r="AJ54"/>
  <c r="AF54"/>
  <c r="AB54"/>
  <c r="X54"/>
  <c r="T54"/>
  <c r="P54"/>
  <c r="L54"/>
  <c r="AU51"/>
  <c r="AQ51"/>
  <c r="AM51"/>
  <c r="AI51"/>
  <c r="AE51"/>
  <c r="AA51"/>
  <c r="W51"/>
  <c r="S51"/>
  <c r="O51"/>
  <c r="K51"/>
  <c r="AW51"/>
  <c r="AS51"/>
  <c r="AO51"/>
  <c r="AK51"/>
  <c r="AG51"/>
  <c r="AC51"/>
  <c r="Y51"/>
  <c r="U51"/>
  <c r="Q51"/>
  <c r="M51"/>
  <c r="AT50"/>
  <c r="AP50"/>
  <c r="AL50"/>
  <c r="AH50"/>
  <c r="AD50"/>
  <c r="Z50"/>
  <c r="V50"/>
  <c r="R50"/>
  <c r="N50"/>
  <c r="J50"/>
  <c r="AV50"/>
  <c r="AR50"/>
  <c r="AN50"/>
  <c r="AJ50"/>
  <c r="AF50"/>
  <c r="AB50"/>
  <c r="X50"/>
  <c r="T50"/>
  <c r="P50"/>
  <c r="L50"/>
  <c r="AU47"/>
  <c r="AQ47"/>
  <c r="AM47"/>
  <c r="AI47"/>
  <c r="AE47"/>
  <c r="AA47"/>
  <c r="W47"/>
  <c r="S47"/>
  <c r="O47"/>
  <c r="K47"/>
  <c r="AW47"/>
  <c r="AS47"/>
  <c r="AO47"/>
  <c r="AK47"/>
  <c r="AG47"/>
  <c r="AC47"/>
  <c r="Y47"/>
  <c r="U47"/>
  <c r="Q47"/>
  <c r="M47"/>
  <c r="AT46"/>
  <c r="AP46"/>
  <c r="AL46"/>
  <c r="AH46"/>
  <c r="AD46"/>
  <c r="Z46"/>
  <c r="V46"/>
  <c r="R46"/>
  <c r="N46"/>
  <c r="J46"/>
  <c r="AV46"/>
  <c r="AR46"/>
  <c r="AN46"/>
  <c r="AJ46"/>
  <c r="AF46"/>
  <c r="AB46"/>
  <c r="X46"/>
  <c r="T46"/>
  <c r="P46"/>
  <c r="L46"/>
  <c r="AU43"/>
  <c r="AQ43"/>
  <c r="AM43"/>
  <c r="AI43"/>
  <c r="AE43"/>
  <c r="AA43"/>
  <c r="W43"/>
  <c r="S43"/>
  <c r="O43"/>
  <c r="K43"/>
  <c r="AW43"/>
  <c r="AS43"/>
  <c r="AO43"/>
  <c r="AK43"/>
  <c r="AG43"/>
  <c r="AC43"/>
  <c r="Y43"/>
  <c r="U43"/>
  <c r="Q43"/>
  <c r="M43"/>
  <c r="AT42"/>
  <c r="AP42"/>
  <c r="AL42"/>
  <c r="AH42"/>
  <c r="AD42"/>
  <c r="Z42"/>
  <c r="V42"/>
  <c r="R42"/>
  <c r="N42"/>
  <c r="J42"/>
  <c r="AV42"/>
  <c r="AR42"/>
  <c r="AN42"/>
  <c r="AJ42"/>
  <c r="AF42"/>
  <c r="AB42"/>
  <c r="X42"/>
  <c r="T42"/>
  <c r="P42"/>
  <c r="L42"/>
  <c r="AU39"/>
  <c r="AQ39"/>
  <c r="AM39"/>
  <c r="AI39"/>
  <c r="AE39"/>
  <c r="AA39"/>
  <c r="W39"/>
  <c r="S39"/>
  <c r="O39"/>
  <c r="K39"/>
  <c r="AW39"/>
  <c r="AS39"/>
  <c r="AO39"/>
  <c r="AK39"/>
  <c r="AG39"/>
  <c r="AC39"/>
  <c r="Y39"/>
  <c r="U39"/>
  <c r="Q39"/>
  <c r="M39"/>
  <c r="AT38"/>
  <c r="AP38"/>
  <c r="AL38"/>
  <c r="AH38"/>
  <c r="AD38"/>
  <c r="Z38"/>
  <c r="V38"/>
  <c r="R38"/>
  <c r="N38"/>
  <c r="J38"/>
  <c r="AV38"/>
  <c r="AR38"/>
  <c r="AN38"/>
  <c r="AJ38"/>
  <c r="AF38"/>
  <c r="AB38"/>
  <c r="X38"/>
  <c r="T38"/>
  <c r="P38"/>
  <c r="L38"/>
  <c r="AU35"/>
  <c r="AQ35"/>
  <c r="AM35"/>
  <c r="AI35"/>
  <c r="AE35"/>
  <c r="AA35"/>
  <c r="W35"/>
  <c r="S35"/>
  <c r="O35"/>
  <c r="K35"/>
  <c r="AW35"/>
  <c r="AS35"/>
  <c r="AO35"/>
  <c r="AK35"/>
  <c r="AG35"/>
  <c r="AC35"/>
  <c r="Y35"/>
  <c r="U35"/>
  <c r="Q35"/>
  <c r="M35"/>
  <c r="AT34"/>
  <c r="AP34"/>
  <c r="AL34"/>
  <c r="AH34"/>
  <c r="AD34"/>
  <c r="Z34"/>
  <c r="V34"/>
  <c r="R34"/>
  <c r="N34"/>
  <c r="J34"/>
  <c r="AV34"/>
  <c r="AR34"/>
  <c r="AN34"/>
  <c r="AJ34"/>
  <c r="AF34"/>
  <c r="AB34"/>
  <c r="X34"/>
  <c r="T34"/>
  <c r="P34"/>
  <c r="L34"/>
  <c r="AU31"/>
  <c r="AQ31"/>
  <c r="AM31"/>
  <c r="AI31"/>
  <c r="AE31"/>
  <c r="AA31"/>
  <c r="W31"/>
  <c r="S31"/>
  <c r="O31"/>
  <c r="K31"/>
  <c r="AW31"/>
  <c r="AS31"/>
  <c r="AO31"/>
  <c r="AK31"/>
  <c r="AG31"/>
  <c r="AC31"/>
  <c r="Y31"/>
  <c r="U31"/>
  <c r="Q31"/>
  <c r="M31"/>
  <c r="AT30"/>
  <c r="AP30"/>
  <c r="AL30"/>
  <c r="AH30"/>
  <c r="AD30"/>
  <c r="Z30"/>
  <c r="V30"/>
  <c r="R30"/>
  <c r="N30"/>
  <c r="J30"/>
  <c r="AV30"/>
  <c r="AR30"/>
  <c r="AN30"/>
  <c r="AJ30"/>
  <c r="AF30"/>
  <c r="AB30"/>
  <c r="X30"/>
  <c r="T30"/>
  <c r="P30"/>
  <c r="L30"/>
  <c r="AU27"/>
  <c r="AQ27"/>
  <c r="AM27"/>
  <c r="AI27"/>
  <c r="AE27"/>
  <c r="AA27"/>
  <c r="W27"/>
  <c r="S27"/>
  <c r="O27"/>
  <c r="K27"/>
  <c r="AW27"/>
  <c r="AS27"/>
  <c r="AO27"/>
  <c r="AK27"/>
  <c r="AG27"/>
  <c r="AC27"/>
  <c r="Y27"/>
  <c r="U27"/>
  <c r="Q27"/>
  <c r="M27"/>
  <c r="AT26"/>
  <c r="AP26"/>
  <c r="AL26"/>
  <c r="AH26"/>
  <c r="AD26"/>
  <c r="Z26"/>
  <c r="V26"/>
  <c r="R26"/>
  <c r="N26"/>
  <c r="J26"/>
  <c r="AV26"/>
  <c r="AR26"/>
  <c r="AN26"/>
  <c r="AJ26"/>
  <c r="AF26"/>
  <c r="AB26"/>
  <c r="X26"/>
  <c r="T26"/>
  <c r="P26"/>
  <c r="L26"/>
  <c r="AU23"/>
  <c r="AQ23"/>
  <c r="AM23"/>
  <c r="AI23"/>
  <c r="AE23"/>
  <c r="AA23"/>
  <c r="W23"/>
  <c r="S23"/>
  <c r="O23"/>
  <c r="K23"/>
  <c r="AW23"/>
  <c r="AS23"/>
  <c r="AO23"/>
  <c r="AK23"/>
  <c r="AG23"/>
  <c r="AC23"/>
  <c r="Y23"/>
  <c r="U23"/>
  <c r="Q23"/>
  <c r="M23"/>
  <c r="AT22"/>
  <c r="AL22"/>
  <c r="AH22"/>
  <c r="Z22"/>
  <c r="R22"/>
  <c r="J22"/>
  <c r="AV22"/>
  <c r="AR22"/>
  <c r="AN22"/>
  <c r="AJ22"/>
  <c r="AF22"/>
  <c r="AB22"/>
  <c r="X22"/>
  <c r="T22"/>
  <c r="P22"/>
  <c r="L22"/>
  <c r="AP22"/>
  <c r="AD22"/>
  <c r="V22"/>
  <c r="N22"/>
  <c r="AQ19"/>
  <c r="AI19"/>
  <c r="W19"/>
  <c r="O19"/>
  <c r="AW19"/>
  <c r="AS19"/>
  <c r="AO19"/>
  <c r="AK19"/>
  <c r="AG19"/>
  <c r="AC19"/>
  <c r="Y19"/>
  <c r="U19"/>
  <c r="Q19"/>
  <c r="M19"/>
  <c r="AU19"/>
  <c r="AM19"/>
  <c r="AE19"/>
  <c r="AA19"/>
  <c r="S19"/>
  <c r="K19"/>
  <c r="AT18"/>
  <c r="AL18"/>
  <c r="AD18"/>
  <c r="V18"/>
  <c r="N18"/>
  <c r="AV18"/>
  <c r="AR18"/>
  <c r="AN18"/>
  <c r="AJ18"/>
  <c r="AF18"/>
  <c r="AB18"/>
  <c r="X18"/>
  <c r="T18"/>
  <c r="P18"/>
  <c r="L18"/>
  <c r="AP18"/>
  <c r="AH18"/>
  <c r="Z18"/>
  <c r="R18"/>
  <c r="J18"/>
  <c r="AU15"/>
  <c r="AM15"/>
  <c r="AE15"/>
  <c r="W15"/>
  <c r="K15"/>
  <c r="AW15"/>
  <c r="AS15"/>
  <c r="AO15"/>
  <c r="AK15"/>
  <c r="AG15"/>
  <c r="AC15"/>
  <c r="Y15"/>
  <c r="U15"/>
  <c r="Q15"/>
  <c r="M15"/>
  <c r="AQ15"/>
  <c r="AI15"/>
  <c r="AA15"/>
  <c r="S15"/>
  <c r="O15"/>
  <c r="AP14"/>
  <c r="AH14"/>
  <c r="Z14"/>
  <c r="N14"/>
  <c r="J14"/>
  <c r="AV14"/>
  <c r="AR14"/>
  <c r="AN14"/>
  <c r="AJ14"/>
  <c r="AF14"/>
  <c r="AB14"/>
  <c r="X14"/>
  <c r="T14"/>
  <c r="P14"/>
  <c r="L14"/>
  <c r="AT14"/>
  <c r="AL14"/>
  <c r="AD14"/>
  <c r="V14"/>
  <c r="R14"/>
  <c r="I20" i="14"/>
  <c r="J20"/>
  <c r="I32"/>
  <c r="J32"/>
  <c r="J21" l="1"/>
  <c r="I21"/>
  <c r="I22" l="1"/>
  <c r="J22"/>
  <c r="J23" l="1"/>
  <c r="I23"/>
  <c r="I24" l="1"/>
  <c r="J24"/>
  <c r="I25" l="1"/>
  <c r="J25"/>
  <c r="I26" l="1"/>
  <c r="J26"/>
  <c r="I10" i="34"/>
  <c r="J27" i="14" l="1"/>
  <c r="I27"/>
  <c r="G15" i="47"/>
  <c r="E11" i="12" a="1"/>
  <c r="E11" s="1"/>
  <c r="F8" a="1"/>
  <c r="F8" s="1"/>
  <c r="F25" i="15" a="1"/>
  <c r="F25" s="1"/>
  <c r="F26" s="1"/>
  <c r="E34" a="1"/>
  <c r="E34" s="1"/>
  <c r="E10" a="1"/>
  <c r="E10" s="1"/>
  <c r="E11" s="1"/>
  <c r="F27" a="1"/>
  <c r="F27" s="1"/>
  <c r="F28" s="1"/>
  <c r="E14" a="1"/>
  <c r="E14" s="1"/>
  <c r="E15" s="1"/>
  <c r="E21" a="1"/>
  <c r="E21" s="1"/>
  <c r="E9" i="12" a="1"/>
  <c r="E9" s="1"/>
  <c r="E29" i="15" a="1"/>
  <c r="E29" s="1"/>
  <c r="E30" s="1"/>
  <c r="F21" a="1"/>
  <c r="F21" s="1"/>
  <c r="H21" s="1"/>
  <c r="F12" a="1"/>
  <c r="F12" s="1"/>
  <c r="F13" s="1"/>
  <c r="E40" a="1"/>
  <c r="E40" s="1"/>
  <c r="E25" a="1"/>
  <c r="E25" s="1"/>
  <c r="F9" i="12" a="1"/>
  <c r="F9" s="1"/>
  <c r="E35" i="15" a="1"/>
  <c r="E35" s="1"/>
  <c r="F22" a="1"/>
  <c r="F22" s="1"/>
  <c r="F14" a="1"/>
  <c r="F14" s="1"/>
  <c r="F15" s="1"/>
  <c r="F6" i="12" a="1"/>
  <c r="F6" s="1"/>
  <c r="E12" a="1"/>
  <c r="E12" s="1"/>
  <c r="F29" i="15" a="1"/>
  <c r="F29" s="1"/>
  <c r="G29" s="1"/>
  <c r="E14" i="12" a="1"/>
  <c r="E14" s="1"/>
  <c r="E39" i="15" a="1"/>
  <c r="E39" s="1"/>
  <c r="E7" i="12" a="1"/>
  <c r="E7" s="1"/>
  <c r="F11" a="1"/>
  <c r="F11" s="1"/>
  <c r="E27" i="15" a="1"/>
  <c r="E27" s="1"/>
  <c r="G27" s="1"/>
  <c r="G28" s="1"/>
  <c r="E37" a="1"/>
  <c r="E37" s="1"/>
  <c r="F14" i="12" a="1"/>
  <c r="F14" s="1"/>
  <c r="E38" i="15" a="1"/>
  <c r="E38" s="1"/>
  <c r="F36" a="1"/>
  <c r="F36" s="1"/>
  <c r="F35" a="1"/>
  <c r="F35" s="1"/>
  <c r="F37" a="1"/>
  <c r="F37" s="1"/>
  <c r="G6" i="45" a="1"/>
  <c r="G6" s="1"/>
  <c r="G8" a="1"/>
  <c r="G8" s="1"/>
  <c r="H4" a="1"/>
  <c r="H4" s="1"/>
  <c r="H5" a="1"/>
  <c r="H5" s="1"/>
  <c r="H7" a="1"/>
  <c r="H7" s="1"/>
  <c r="E4" i="12" a="1"/>
  <c r="E4" s="1"/>
  <c r="E18" i="15" a="1"/>
  <c r="E18" s="1"/>
  <c r="G5" i="45" a="1"/>
  <c r="G5" s="1"/>
  <c r="G7" a="1"/>
  <c r="G7" s="1"/>
  <c r="G4" a="1"/>
  <c r="G4" s="1"/>
  <c r="H6" a="1"/>
  <c r="H6" s="1"/>
  <c r="J6" s="1"/>
  <c r="H8" a="1"/>
  <c r="H8" s="1"/>
  <c r="F4" i="12" a="1"/>
  <c r="F4" s="1"/>
  <c r="F18" i="15" a="1"/>
  <c r="F18" s="1"/>
  <c r="E12" a="1"/>
  <c r="E12" s="1"/>
  <c r="G12" s="1"/>
  <c r="F31" a="1"/>
  <c r="F31" s="1"/>
  <c r="E22" a="1"/>
  <c r="E22" s="1"/>
  <c r="F16" a="1"/>
  <c r="F16" s="1"/>
  <c r="F17" s="1"/>
  <c r="F7" i="12" a="1"/>
  <c r="F7" s="1"/>
  <c r="F10" i="15" a="1"/>
  <c r="F10" s="1"/>
  <c r="F11" s="1"/>
  <c r="E20" a="1"/>
  <c r="E20" s="1"/>
  <c r="E18" i="12" s="1"/>
  <c r="F13" a="1"/>
  <c r="F13" s="1"/>
  <c r="F5" a="1"/>
  <c r="F5" s="1"/>
  <c r="E8" a="1"/>
  <c r="E8" s="1"/>
  <c r="F10" a="1"/>
  <c r="F10" s="1"/>
  <c r="E6" a="1"/>
  <c r="E6" s="1"/>
  <c r="H6" s="1"/>
  <c r="F20" i="15" a="1"/>
  <c r="F20" s="1"/>
  <c r="F18" i="12" s="1"/>
  <c r="F12" a="1"/>
  <c r="F12" s="1"/>
  <c r="H12" s="1"/>
  <c r="E10" a="1"/>
  <c r="E10" s="1"/>
  <c r="E5" a="1"/>
  <c r="E5" s="1"/>
  <c r="G5" s="1"/>
  <c r="E13" a="1"/>
  <c r="E13" s="1"/>
  <c r="H13" s="1"/>
  <c r="E31" i="15" a="1"/>
  <c r="E31" s="1"/>
  <c r="E16" a="1"/>
  <c r="E16" s="1"/>
  <c r="H16" s="1"/>
  <c r="F39" a="1"/>
  <c r="F39" s="1"/>
  <c r="I39" s="1"/>
  <c r="F34" a="1"/>
  <c r="F34" s="1"/>
  <c r="I34" s="1"/>
  <c r="E36" a="1"/>
  <c r="E36" s="1"/>
  <c r="I36" s="1"/>
  <c r="E32" a="1"/>
  <c r="E32" s="1"/>
  <c r="F32" a="1"/>
  <c r="F32" s="1"/>
  <c r="F40" a="1"/>
  <c r="F40" s="1"/>
  <c r="I40" s="1"/>
  <c r="E13"/>
  <c r="G21"/>
  <c r="F23"/>
  <c r="F24" s="1"/>
  <c r="H14" l="1"/>
  <c r="H15" s="1"/>
  <c r="G10"/>
  <c r="G11" s="1"/>
  <c r="I5" i="45"/>
  <c r="I35" i="15"/>
  <c r="I21"/>
  <c r="F33"/>
  <c r="G22"/>
  <c r="G23" s="1"/>
  <c r="G24" s="1"/>
  <c r="I37"/>
  <c r="H27"/>
  <c r="H28" s="1"/>
  <c r="H29"/>
  <c r="H14" i="12"/>
  <c r="H11"/>
  <c r="G9"/>
  <c r="G11"/>
  <c r="G31" i="15"/>
  <c r="I7" i="45"/>
  <c r="I28" i="14"/>
  <c r="J28"/>
  <c r="E17" i="15"/>
  <c r="G17" s="1"/>
  <c r="F38" a="1"/>
  <c r="F38" s="1"/>
  <c r="I38" s="1"/>
  <c r="E16" i="12"/>
  <c r="E20" s="1"/>
  <c r="F16"/>
  <c r="F20" s="1"/>
  <c r="H9"/>
  <c r="G8"/>
  <c r="G25" i="15"/>
  <c r="G26" s="1"/>
  <c r="H25"/>
  <c r="H26" s="1"/>
  <c r="F30"/>
  <c r="G30" s="1"/>
  <c r="H22"/>
  <c r="H23" s="1"/>
  <c r="H24" s="1"/>
  <c r="H10"/>
  <c r="H11" s="1"/>
  <c r="G12" i="12"/>
  <c r="G14" i="15"/>
  <c r="G15" s="1"/>
  <c r="H8" i="12"/>
  <c r="G6"/>
  <c r="E26" i="15"/>
  <c r="G7" i="12"/>
  <c r="E28" i="15"/>
  <c r="I22"/>
  <c r="J8" i="45"/>
  <c r="H4" i="12"/>
  <c r="G13"/>
  <c r="H10"/>
  <c r="H5"/>
  <c r="H20" i="15"/>
  <c r="H12"/>
  <c r="G4" i="12"/>
  <c r="E23" i="15"/>
  <c r="E24" s="1"/>
  <c r="I24" s="1"/>
  <c r="E33"/>
  <c r="H7" i="12"/>
  <c r="G10"/>
  <c r="G16" i="15"/>
  <c r="G20"/>
  <c r="G34" i="47"/>
  <c r="H15"/>
  <c r="I15"/>
  <c r="H18" i="15"/>
  <c r="F19"/>
  <c r="I4" i="45"/>
  <c r="G10"/>
  <c r="H10"/>
  <c r="J4"/>
  <c r="H31" i="15"/>
  <c r="J7" i="45"/>
  <c r="I6"/>
  <c r="G14" i="12"/>
  <c r="G18" i="15"/>
  <c r="E19"/>
  <c r="J5" i="45"/>
  <c r="I8"/>
  <c r="H32" i="15"/>
  <c r="G32"/>
  <c r="G33" s="1"/>
  <c r="H13"/>
  <c r="G13"/>
  <c r="H17" l="1"/>
  <c r="J29" i="14"/>
  <c r="I29"/>
  <c r="H16" i="12"/>
  <c r="H30" i="15"/>
  <c r="F41"/>
  <c r="G16" i="12"/>
  <c r="E41" i="15"/>
  <c r="I23"/>
  <c r="H33"/>
  <c r="G19"/>
  <c r="I16" i="47"/>
  <c r="I35"/>
  <c r="H35"/>
  <c r="H16"/>
  <c r="I10" i="45"/>
  <c r="J10"/>
  <c r="H19" i="15"/>
  <c r="G41"/>
  <c r="I30" i="14" l="1"/>
  <c r="J30"/>
  <c r="E43" i="15"/>
  <c r="H41"/>
  <c r="H43" s="1"/>
  <c r="H17" i="47"/>
  <c r="I17"/>
  <c r="I18" l="1"/>
  <c r="H18"/>
  <c r="B11" i="51" l="1"/>
  <c r="D13" i="39"/>
  <c r="G11" i="48"/>
  <c r="D11" i="51"/>
  <c r="E11" i="50"/>
  <c r="C11" i="51"/>
  <c r="D11" i="50"/>
  <c r="G11"/>
  <c r="H11" i="48"/>
  <c r="A13" i="44"/>
  <c r="H19" i="47"/>
  <c r="I19"/>
  <c r="C14" i="39"/>
  <c r="A65" i="51" l="1" a="1"/>
  <c r="A65" s="1"/>
  <c r="I65" s="1"/>
  <c r="A57" a="1"/>
  <c r="A57" s="1"/>
  <c r="I57" s="1"/>
  <c r="A49" a="1"/>
  <c r="A49" s="1"/>
  <c r="I49" s="1"/>
  <c r="A41" a="1"/>
  <c r="A41" s="1"/>
  <c r="I41" s="1"/>
  <c r="A33" a="1"/>
  <c r="A33" s="1"/>
  <c r="I33" s="1"/>
  <c r="A25" a="1"/>
  <c r="A25" s="1"/>
  <c r="I25" s="1"/>
  <c r="A17" a="1"/>
  <c r="A17" s="1"/>
  <c r="I17" s="1"/>
  <c r="A64" a="1"/>
  <c r="A64" s="1"/>
  <c r="I64" s="1"/>
  <c r="A56" a="1"/>
  <c r="A56" s="1"/>
  <c r="I56" s="1"/>
  <c r="A48" a="1"/>
  <c r="A48" s="1"/>
  <c r="I48" s="1"/>
  <c r="A40" a="1"/>
  <c r="A40" s="1"/>
  <c r="I40" s="1"/>
  <c r="A32" a="1"/>
  <c r="A32" s="1"/>
  <c r="I32" s="1"/>
  <c r="A24" a="1"/>
  <c r="A24" s="1"/>
  <c r="I24" s="1"/>
  <c r="A16" a="1"/>
  <c r="A16" s="1"/>
  <c r="I16" s="1"/>
  <c r="A67" a="1"/>
  <c r="A67" s="1"/>
  <c r="I67" s="1"/>
  <c r="A59" a="1"/>
  <c r="A59" s="1"/>
  <c r="I59" s="1"/>
  <c r="A51" a="1"/>
  <c r="A51" s="1"/>
  <c r="I51" s="1"/>
  <c r="A43" a="1"/>
  <c r="A43" s="1"/>
  <c r="I43" s="1"/>
  <c r="A35" a="1"/>
  <c r="A35" s="1"/>
  <c r="I35" s="1"/>
  <c r="A27" a="1"/>
  <c r="A27" s="1"/>
  <c r="I27" s="1"/>
  <c r="A19" a="1"/>
  <c r="A19" s="1"/>
  <c r="I19" s="1"/>
  <c r="A66" a="1"/>
  <c r="A66" s="1"/>
  <c r="I66" s="1"/>
  <c r="A50" a="1"/>
  <c r="A50" s="1"/>
  <c r="I50" s="1"/>
  <c r="A34" a="1"/>
  <c r="A34" s="1"/>
  <c r="I34" s="1"/>
  <c r="A69" a="1"/>
  <c r="A69" s="1"/>
  <c r="I69" s="1"/>
  <c r="A61" a="1"/>
  <c r="A61" s="1"/>
  <c r="I61" s="1"/>
  <c r="A53" a="1"/>
  <c r="A53" s="1"/>
  <c r="I53" s="1"/>
  <c r="A45" a="1"/>
  <c r="A45" s="1"/>
  <c r="I45" s="1"/>
  <c r="A37" a="1"/>
  <c r="A37" s="1"/>
  <c r="I37" s="1"/>
  <c r="A29" a="1"/>
  <c r="A29" s="1"/>
  <c r="I29" s="1"/>
  <c r="A21" a="1"/>
  <c r="A21" s="1"/>
  <c r="I21" s="1"/>
  <c r="A13" a="1"/>
  <c r="A13" s="1"/>
  <c r="I13" s="1"/>
  <c r="A68" a="1"/>
  <c r="A68" s="1"/>
  <c r="I68" s="1"/>
  <c r="A60" a="1"/>
  <c r="A60" s="1"/>
  <c r="I60" s="1"/>
  <c r="A52" a="1"/>
  <c r="A52" s="1"/>
  <c r="I52" s="1"/>
  <c r="A44" a="1"/>
  <c r="A44" s="1"/>
  <c r="I44" s="1"/>
  <c r="A36" a="1"/>
  <c r="A36" s="1"/>
  <c r="I36" s="1"/>
  <c r="A28" a="1"/>
  <c r="A28" s="1"/>
  <c r="I28" s="1"/>
  <c r="A20" a="1"/>
  <c r="A20" s="1"/>
  <c r="I20" s="1"/>
  <c r="A12" a="1"/>
  <c r="A12" s="1"/>
  <c r="I12" s="1"/>
  <c r="A71" a="1"/>
  <c r="A71" s="1"/>
  <c r="I71" s="1"/>
  <c r="A63" a="1"/>
  <c r="A63" s="1"/>
  <c r="I63" s="1"/>
  <c r="A55" a="1"/>
  <c r="A55" s="1"/>
  <c r="I55" s="1"/>
  <c r="A47" a="1"/>
  <c r="A47" s="1"/>
  <c r="I47" s="1"/>
  <c r="A39" a="1"/>
  <c r="A39" s="1"/>
  <c r="I39" s="1"/>
  <c r="A31" a="1"/>
  <c r="A31" s="1"/>
  <c r="I31" s="1"/>
  <c r="A23" a="1"/>
  <c r="A23" s="1"/>
  <c r="I23" s="1"/>
  <c r="A15" a="1"/>
  <c r="A15" s="1"/>
  <c r="I15" s="1"/>
  <c r="A70" a="1"/>
  <c r="A70" s="1"/>
  <c r="I70" s="1"/>
  <c r="A62" a="1"/>
  <c r="A62" s="1"/>
  <c r="I62" s="1"/>
  <c r="A54" a="1"/>
  <c r="A54" s="1"/>
  <c r="I54" s="1"/>
  <c r="A46" a="1"/>
  <c r="A46" s="1"/>
  <c r="I46" s="1"/>
  <c r="A38" a="1"/>
  <c r="A38" s="1"/>
  <c r="I38" s="1"/>
  <c r="A30" a="1"/>
  <c r="A30" s="1"/>
  <c r="I30" s="1"/>
  <c r="A22" a="1"/>
  <c r="A22" s="1"/>
  <c r="I22" s="1"/>
  <c r="A14" a="1"/>
  <c r="A14" s="1"/>
  <c r="I14" s="1"/>
  <c r="A58" a="1"/>
  <c r="A58" s="1"/>
  <c r="I58" s="1"/>
  <c r="A42" a="1"/>
  <c r="A42" s="1"/>
  <c r="I42" s="1"/>
  <c r="A26" a="1"/>
  <c r="A26" s="1"/>
  <c r="I26" s="1"/>
  <c r="A18" a="1"/>
  <c r="A18" s="1"/>
  <c r="I18" s="1"/>
  <c r="F11" i="48"/>
  <c r="Z11" s="1"/>
  <c r="Z64" s="1"/>
  <c r="G11" i="51"/>
  <c r="AT11" s="1"/>
  <c r="AT79" s="1"/>
  <c r="C11" i="49"/>
  <c r="A41" s="1" a="1"/>
  <c r="A41" s="1"/>
  <c r="I41" s="1"/>
  <c r="D11" i="48"/>
  <c r="C11" i="50"/>
  <c r="A80" s="1" a="1"/>
  <c r="A80" s="1"/>
  <c r="I80" s="1"/>
  <c r="G11" i="49"/>
  <c r="AV11" s="1"/>
  <c r="B11" i="50"/>
  <c r="F11" i="49"/>
  <c r="R11" s="1"/>
  <c r="H11"/>
  <c r="AS11" s="1"/>
  <c r="H11" i="51"/>
  <c r="AW11" s="1"/>
  <c r="D11" i="49"/>
  <c r="C11" i="48"/>
  <c r="A61" s="1" a="1"/>
  <c r="A61" s="1"/>
  <c r="I61" s="1"/>
  <c r="F11" i="50"/>
  <c r="AN11" s="1"/>
  <c r="AN83" s="1"/>
  <c r="F77" s="1"/>
  <c r="F11" i="51"/>
  <c r="AN11" s="1"/>
  <c r="AN79" s="1"/>
  <c r="F73" s="1"/>
  <c r="B11" i="48"/>
  <c r="E11" i="49"/>
  <c r="E11" i="51"/>
  <c r="E11" i="48"/>
  <c r="H11" i="50"/>
  <c r="AW11" s="1"/>
  <c r="B11" i="49"/>
  <c r="AW11"/>
  <c r="AG11"/>
  <c r="AG45" s="1"/>
  <c r="Q11"/>
  <c r="Q45" s="1"/>
  <c r="AM11"/>
  <c r="W11"/>
  <c r="W45" s="1"/>
  <c r="AK11" i="51"/>
  <c r="AK79" s="1"/>
  <c r="F75" s="1"/>
  <c r="K11"/>
  <c r="K79" s="1"/>
  <c r="AW11" i="48"/>
  <c r="AS11"/>
  <c r="AO11"/>
  <c r="AK11"/>
  <c r="AK64" s="1"/>
  <c r="AG11"/>
  <c r="AG64" s="1"/>
  <c r="AC11"/>
  <c r="AC64" s="1"/>
  <c r="Y11"/>
  <c r="Y64" s="1"/>
  <c r="U11"/>
  <c r="U64" s="1"/>
  <c r="Q11"/>
  <c r="Q64" s="1"/>
  <c r="M11"/>
  <c r="M64" s="1"/>
  <c r="AU11"/>
  <c r="AU64" s="1"/>
  <c r="AQ11"/>
  <c r="AQ64" s="1"/>
  <c r="AM11"/>
  <c r="AI11"/>
  <c r="AI64" s="1"/>
  <c r="AE11"/>
  <c r="AE64" s="1"/>
  <c r="AA11"/>
  <c r="AA64" s="1"/>
  <c r="W11"/>
  <c r="W64" s="1"/>
  <c r="S11"/>
  <c r="S64" s="1"/>
  <c r="O11"/>
  <c r="O64" s="1"/>
  <c r="K11"/>
  <c r="K64" s="1"/>
  <c r="AT11" i="50"/>
  <c r="AT83" s="1"/>
  <c r="AP11"/>
  <c r="AL11"/>
  <c r="AL83" s="1"/>
  <c r="F76" s="1"/>
  <c r="AH11"/>
  <c r="AD11"/>
  <c r="AD83" s="1"/>
  <c r="Z11"/>
  <c r="Z83" s="1"/>
  <c r="V11"/>
  <c r="V83" s="1"/>
  <c r="R11"/>
  <c r="N11"/>
  <c r="N83" s="1"/>
  <c r="J11"/>
  <c r="J83" s="1"/>
  <c r="AV11"/>
  <c r="AR11"/>
  <c r="AR83" s="1"/>
  <c r="F81" s="1"/>
  <c r="AJ11"/>
  <c r="AF11"/>
  <c r="AF83" s="1"/>
  <c r="AB11"/>
  <c r="AB83" s="1"/>
  <c r="X11"/>
  <c r="X83" s="1"/>
  <c r="T11"/>
  <c r="T83" s="1"/>
  <c r="P11"/>
  <c r="P83" s="1"/>
  <c r="L11"/>
  <c r="L83" s="1"/>
  <c r="AP11" i="51"/>
  <c r="Z11"/>
  <c r="Z79" s="1"/>
  <c r="J11"/>
  <c r="J79" s="1"/>
  <c r="AF11"/>
  <c r="AF79" s="1"/>
  <c r="P11"/>
  <c r="P79" s="1"/>
  <c r="A39" i="49" a="1"/>
  <c r="A39" s="1"/>
  <c r="I39" s="1"/>
  <c r="A38" a="1"/>
  <c r="A38" s="1"/>
  <c r="I38" s="1"/>
  <c r="A77" i="51" a="1"/>
  <c r="A77" s="1"/>
  <c r="I77" s="1"/>
  <c r="A75" a="1"/>
  <c r="A75" s="1"/>
  <c r="I75" s="1"/>
  <c r="A73" a="1"/>
  <c r="A73" s="1"/>
  <c r="I73" s="1"/>
  <c r="A72" a="1"/>
  <c r="A72" s="1"/>
  <c r="I72" s="1"/>
  <c r="A76" a="1"/>
  <c r="A76" s="1"/>
  <c r="I76" s="1"/>
  <c r="A74" a="1"/>
  <c r="A74" s="1"/>
  <c r="I74" s="1"/>
  <c r="A11" a="1"/>
  <c r="A11" s="1"/>
  <c r="I11" s="1"/>
  <c r="A76" i="50" a="1"/>
  <c r="A76" s="1"/>
  <c r="I76" s="1"/>
  <c r="A81" a="1"/>
  <c r="A81" s="1"/>
  <c r="I81" s="1"/>
  <c r="AB11" i="49"/>
  <c r="AB45" s="1"/>
  <c r="AH11"/>
  <c r="AV11" i="48"/>
  <c r="AR11"/>
  <c r="AR64" s="1"/>
  <c r="AN11"/>
  <c r="AN64" s="1"/>
  <c r="AJ11"/>
  <c r="AF11"/>
  <c r="AF64" s="1"/>
  <c r="AB11"/>
  <c r="AB64" s="1"/>
  <c r="X11"/>
  <c r="X64" s="1"/>
  <c r="T11"/>
  <c r="T64" s="1"/>
  <c r="P11"/>
  <c r="P64" s="1"/>
  <c r="L11"/>
  <c r="L64" s="1"/>
  <c r="AT11"/>
  <c r="AT64" s="1"/>
  <c r="AP11"/>
  <c r="AL11"/>
  <c r="AL64" s="1"/>
  <c r="AH11"/>
  <c r="AD11"/>
  <c r="AD64" s="1"/>
  <c r="V11"/>
  <c r="V64" s="1"/>
  <c r="R11"/>
  <c r="N11"/>
  <c r="N64" s="1"/>
  <c r="J11"/>
  <c r="J64" s="1"/>
  <c r="C12" i="39"/>
  <c r="C15"/>
  <c r="H5"/>
  <c r="M16" s="1"/>
  <c r="C10"/>
  <c r="I12" i="42"/>
  <c r="I20" i="47"/>
  <c r="H20"/>
  <c r="I11" i="43"/>
  <c r="G13" i="42"/>
  <c r="H13"/>
  <c r="B12" i="43"/>
  <c r="G12"/>
  <c r="F12"/>
  <c r="F13"/>
  <c r="D11" i="44"/>
  <c r="C22"/>
  <c r="C18"/>
  <c r="C14"/>
  <c r="D24"/>
  <c r="D20"/>
  <c r="D16"/>
  <c r="A24"/>
  <c r="A20"/>
  <c r="A16"/>
  <c r="B26"/>
  <c r="B22"/>
  <c r="B18"/>
  <c r="C25"/>
  <c r="D27"/>
  <c r="D31"/>
  <c r="C28"/>
  <c r="C32"/>
  <c r="B29"/>
  <c r="B33"/>
  <c r="A30"/>
  <c r="B13"/>
  <c r="B38" s="1"/>
  <c r="C23"/>
  <c r="C19"/>
  <c r="C15"/>
  <c r="D25"/>
  <c r="D21"/>
  <c r="D17"/>
  <c r="A26"/>
  <c r="A21"/>
  <c r="A17"/>
  <c r="C13"/>
  <c r="B23"/>
  <c r="B19"/>
  <c r="B15"/>
  <c r="B14"/>
  <c r="D30"/>
  <c r="C27"/>
  <c r="C31"/>
  <c r="C26"/>
  <c r="B28"/>
  <c r="B32"/>
  <c r="A29"/>
  <c r="A33"/>
  <c r="A25"/>
  <c r="C20"/>
  <c r="C16"/>
  <c r="D26"/>
  <c r="D22"/>
  <c r="D18"/>
  <c r="D14"/>
  <c r="A22"/>
  <c r="A18"/>
  <c r="A14"/>
  <c r="B24"/>
  <c r="B20"/>
  <c r="B16"/>
  <c r="D29"/>
  <c r="D33"/>
  <c r="C30"/>
  <c r="C24"/>
  <c r="B27"/>
  <c r="B31"/>
  <c r="A28"/>
  <c r="A32"/>
  <c r="D13"/>
  <c r="C21"/>
  <c r="C17"/>
  <c r="D23"/>
  <c r="D19"/>
  <c r="D15"/>
  <c r="A23"/>
  <c r="A19"/>
  <c r="A15"/>
  <c r="B25"/>
  <c r="B21"/>
  <c r="B17"/>
  <c r="D28"/>
  <c r="D32"/>
  <c r="C29"/>
  <c r="C33"/>
  <c r="B30"/>
  <c r="A27"/>
  <c r="A31"/>
  <c r="H66" i="43"/>
  <c r="H67"/>
  <c r="H68"/>
  <c r="H69"/>
  <c r="G66"/>
  <c r="G67"/>
  <c r="G68"/>
  <c r="G69"/>
  <c r="F66"/>
  <c r="F67"/>
  <c r="F68"/>
  <c r="F69"/>
  <c r="E66"/>
  <c r="E67"/>
  <c r="E68"/>
  <c r="E69"/>
  <c r="D66"/>
  <c r="D67"/>
  <c r="D68"/>
  <c r="D69"/>
  <c r="C66"/>
  <c r="C67"/>
  <c r="C68"/>
  <c r="C69"/>
  <c r="B66"/>
  <c r="B67"/>
  <c r="B68"/>
  <c r="B69"/>
  <c r="A66"/>
  <c r="A67"/>
  <c r="A68"/>
  <c r="A69"/>
  <c r="H54"/>
  <c r="H56"/>
  <c r="H58"/>
  <c r="H60"/>
  <c r="H62"/>
  <c r="G64"/>
  <c r="G53"/>
  <c r="G55"/>
  <c r="G57"/>
  <c r="G59"/>
  <c r="G61"/>
  <c r="G63"/>
  <c r="G65"/>
  <c r="H34"/>
  <c r="H36"/>
  <c r="H38"/>
  <c r="H40"/>
  <c r="H42"/>
  <c r="H44"/>
  <c r="H46"/>
  <c r="H48"/>
  <c r="H50"/>
  <c r="H52"/>
  <c r="G34"/>
  <c r="G36"/>
  <c r="G38"/>
  <c r="G40"/>
  <c r="G42"/>
  <c r="G44"/>
  <c r="G46"/>
  <c r="G48"/>
  <c r="G50"/>
  <c r="G52"/>
  <c r="H14"/>
  <c r="H16"/>
  <c r="H18"/>
  <c r="H20"/>
  <c r="H22"/>
  <c r="H24"/>
  <c r="H26"/>
  <c r="H28"/>
  <c r="H30"/>
  <c r="H32"/>
  <c r="C14"/>
  <c r="C16"/>
  <c r="C18"/>
  <c r="C20"/>
  <c r="C22"/>
  <c r="C24"/>
  <c r="C26"/>
  <c r="C28"/>
  <c r="C30"/>
  <c r="C32"/>
  <c r="A12"/>
  <c r="A74" s="1"/>
  <c r="F54"/>
  <c r="F56"/>
  <c r="F58"/>
  <c r="F60"/>
  <c r="F62"/>
  <c r="E64"/>
  <c r="E53"/>
  <c r="E55"/>
  <c r="E57"/>
  <c r="E59"/>
  <c r="E61"/>
  <c r="E63"/>
  <c r="E65"/>
  <c r="F34"/>
  <c r="F36"/>
  <c r="F38"/>
  <c r="F41"/>
  <c r="F44"/>
  <c r="F48"/>
  <c r="F51"/>
  <c r="E35"/>
  <c r="E39"/>
  <c r="E43"/>
  <c r="E47"/>
  <c r="E49"/>
  <c r="E52"/>
  <c r="F16"/>
  <c r="F20"/>
  <c r="F24"/>
  <c r="F28"/>
  <c r="F32"/>
  <c r="A16"/>
  <c r="A20"/>
  <c r="A24"/>
  <c r="A28"/>
  <c r="A32"/>
  <c r="D53"/>
  <c r="D55"/>
  <c r="D57"/>
  <c r="D59"/>
  <c r="D61"/>
  <c r="D63"/>
  <c r="D65"/>
  <c r="C54"/>
  <c r="C56"/>
  <c r="C58"/>
  <c r="C60"/>
  <c r="C62"/>
  <c r="D64"/>
  <c r="D33"/>
  <c r="D35"/>
  <c r="D37"/>
  <c r="D39"/>
  <c r="D41"/>
  <c r="D43"/>
  <c r="D45"/>
  <c r="D47"/>
  <c r="D49"/>
  <c r="D51"/>
  <c r="C33"/>
  <c r="C35"/>
  <c r="C37"/>
  <c r="C39"/>
  <c r="C41"/>
  <c r="C43"/>
  <c r="C45"/>
  <c r="C47"/>
  <c r="C49"/>
  <c r="C51"/>
  <c r="D13"/>
  <c r="D15"/>
  <c r="D17"/>
  <c r="D19"/>
  <c r="D21"/>
  <c r="D23"/>
  <c r="D25"/>
  <c r="D27"/>
  <c r="D29"/>
  <c r="D31"/>
  <c r="G14"/>
  <c r="G16"/>
  <c r="G18"/>
  <c r="G20"/>
  <c r="G22"/>
  <c r="G24"/>
  <c r="G26"/>
  <c r="G28"/>
  <c r="G30"/>
  <c r="G32"/>
  <c r="B53"/>
  <c r="B55"/>
  <c r="B57"/>
  <c r="B59"/>
  <c r="B61"/>
  <c r="B63"/>
  <c r="B65"/>
  <c r="A54"/>
  <c r="A56"/>
  <c r="A58"/>
  <c r="A60"/>
  <c r="A62"/>
  <c r="B64"/>
  <c r="B33"/>
  <c r="B35"/>
  <c r="B37"/>
  <c r="B39"/>
  <c r="B41"/>
  <c r="B43"/>
  <c r="B45"/>
  <c r="B47"/>
  <c r="B49"/>
  <c r="B51"/>
  <c r="A33"/>
  <c r="A35"/>
  <c r="A37"/>
  <c r="A39"/>
  <c r="A41"/>
  <c r="A43"/>
  <c r="A45"/>
  <c r="A47"/>
  <c r="A49"/>
  <c r="A51"/>
  <c r="B13"/>
  <c r="B15"/>
  <c r="B17"/>
  <c r="B19"/>
  <c r="B21"/>
  <c r="B23"/>
  <c r="B25"/>
  <c r="B27"/>
  <c r="B29"/>
  <c r="B31"/>
  <c r="D12"/>
  <c r="E14"/>
  <c r="E16"/>
  <c r="E18"/>
  <c r="E20"/>
  <c r="E22"/>
  <c r="E24"/>
  <c r="E26"/>
  <c r="E28"/>
  <c r="E30"/>
  <c r="E32"/>
  <c r="F40"/>
  <c r="F45"/>
  <c r="F49"/>
  <c r="E34"/>
  <c r="E38"/>
  <c r="E42"/>
  <c r="E45"/>
  <c r="F17"/>
  <c r="F21"/>
  <c r="F25"/>
  <c r="F29"/>
  <c r="A13"/>
  <c r="A17"/>
  <c r="A21"/>
  <c r="A25"/>
  <c r="A29"/>
  <c r="H12"/>
  <c r="H53"/>
  <c r="H55"/>
  <c r="H57"/>
  <c r="H59"/>
  <c r="H61"/>
  <c r="H63"/>
  <c r="H65"/>
  <c r="G54"/>
  <c r="G56"/>
  <c r="G58"/>
  <c r="G60"/>
  <c r="G62"/>
  <c r="H64"/>
  <c r="H33"/>
  <c r="H35"/>
  <c r="H37"/>
  <c r="H39"/>
  <c r="H41"/>
  <c r="H43"/>
  <c r="H45"/>
  <c r="H47"/>
  <c r="H49"/>
  <c r="H51"/>
  <c r="G33"/>
  <c r="G35"/>
  <c r="G37"/>
  <c r="G39"/>
  <c r="G41"/>
  <c r="G43"/>
  <c r="G45"/>
  <c r="G47"/>
  <c r="G49"/>
  <c r="G51"/>
  <c r="H13"/>
  <c r="H15"/>
  <c r="H17"/>
  <c r="H19"/>
  <c r="H21"/>
  <c r="H23"/>
  <c r="H25"/>
  <c r="H27"/>
  <c r="H29"/>
  <c r="H31"/>
  <c r="C13"/>
  <c r="C15"/>
  <c r="C17"/>
  <c r="C19"/>
  <c r="C21"/>
  <c r="C23"/>
  <c r="C25"/>
  <c r="C27"/>
  <c r="C29"/>
  <c r="C31"/>
  <c r="F53"/>
  <c r="F55"/>
  <c r="F57"/>
  <c r="F59"/>
  <c r="F61"/>
  <c r="F63"/>
  <c r="F65"/>
  <c r="E54"/>
  <c r="E56"/>
  <c r="E58"/>
  <c r="E60"/>
  <c r="E62"/>
  <c r="F64"/>
  <c r="F33"/>
  <c r="F35"/>
  <c r="F37"/>
  <c r="F39"/>
  <c r="F42"/>
  <c r="F46"/>
  <c r="F50"/>
  <c r="E33"/>
  <c r="E37"/>
  <c r="E41"/>
  <c r="E46"/>
  <c r="E48"/>
  <c r="E51"/>
  <c r="F14"/>
  <c r="F18"/>
  <c r="F22"/>
  <c r="F26"/>
  <c r="F30"/>
  <c r="A14"/>
  <c r="A18"/>
  <c r="A22"/>
  <c r="A26"/>
  <c r="A30"/>
  <c r="C12"/>
  <c r="D54"/>
  <c r="D56"/>
  <c r="D58"/>
  <c r="D60"/>
  <c r="D62"/>
  <c r="C64"/>
  <c r="C53"/>
  <c r="C55"/>
  <c r="C57"/>
  <c r="C59"/>
  <c r="C61"/>
  <c r="C63"/>
  <c r="C65"/>
  <c r="D34"/>
  <c r="D36"/>
  <c r="D38"/>
  <c r="D40"/>
  <c r="D42"/>
  <c r="D44"/>
  <c r="D46"/>
  <c r="D48"/>
  <c r="D50"/>
  <c r="D52"/>
  <c r="C34"/>
  <c r="C36"/>
  <c r="C38"/>
  <c r="C40"/>
  <c r="C42"/>
  <c r="C44"/>
  <c r="C46"/>
  <c r="C48"/>
  <c r="C50"/>
  <c r="C52"/>
  <c r="D14"/>
  <c r="D16"/>
  <c r="D18"/>
  <c r="D20"/>
  <c r="D22"/>
  <c r="D24"/>
  <c r="D26"/>
  <c r="D28"/>
  <c r="D30"/>
  <c r="D32"/>
  <c r="G13"/>
  <c r="G15"/>
  <c r="G17"/>
  <c r="G19"/>
  <c r="G21"/>
  <c r="G23"/>
  <c r="G25"/>
  <c r="G27"/>
  <c r="G29"/>
  <c r="G31"/>
  <c r="E12"/>
  <c r="B54"/>
  <c r="B56"/>
  <c r="B58"/>
  <c r="B60"/>
  <c r="B62"/>
  <c r="A64"/>
  <c r="A53"/>
  <c r="A55"/>
  <c r="A57"/>
  <c r="A59"/>
  <c r="A61"/>
  <c r="A63"/>
  <c r="A65"/>
  <c r="B34"/>
  <c r="B36"/>
  <c r="B38"/>
  <c r="B40"/>
  <c r="B42"/>
  <c r="B44"/>
  <c r="B46"/>
  <c r="B48"/>
  <c r="B50"/>
  <c r="B52"/>
  <c r="A34"/>
  <c r="A36"/>
  <c r="A38"/>
  <c r="A40"/>
  <c r="A42"/>
  <c r="A44"/>
  <c r="A46"/>
  <c r="A48"/>
  <c r="A50"/>
  <c r="A52"/>
  <c r="B14"/>
  <c r="B16"/>
  <c r="B18"/>
  <c r="B20"/>
  <c r="B22"/>
  <c r="B24"/>
  <c r="B26"/>
  <c r="B28"/>
  <c r="B30"/>
  <c r="B32"/>
  <c r="E13"/>
  <c r="E15"/>
  <c r="E17"/>
  <c r="E19"/>
  <c r="E21"/>
  <c r="E23"/>
  <c r="E25"/>
  <c r="E27"/>
  <c r="E29"/>
  <c r="E31"/>
  <c r="F43"/>
  <c r="F47"/>
  <c r="F52"/>
  <c r="E36"/>
  <c r="E40"/>
  <c r="E44"/>
  <c r="E50"/>
  <c r="F15"/>
  <c r="F19"/>
  <c r="F23"/>
  <c r="F27"/>
  <c r="F31"/>
  <c r="A15"/>
  <c r="A19"/>
  <c r="A23"/>
  <c r="A27"/>
  <c r="A31"/>
  <c r="G17" i="42"/>
  <c r="H21"/>
  <c r="H25"/>
  <c r="A15"/>
  <c r="A19"/>
  <c r="B23"/>
  <c r="C23"/>
  <c r="B15"/>
  <c r="E22"/>
  <c r="D18"/>
  <c r="D14"/>
  <c r="G22"/>
  <c r="F14"/>
  <c r="C15"/>
  <c r="C17"/>
  <c r="C19"/>
  <c r="D21"/>
  <c r="D23"/>
  <c r="D25"/>
  <c r="E14"/>
  <c r="E16"/>
  <c r="E18"/>
  <c r="F20"/>
  <c r="F22"/>
  <c r="F24"/>
  <c r="C24"/>
  <c r="C20"/>
  <c r="B16"/>
  <c r="F13"/>
  <c r="A25"/>
  <c r="A23"/>
  <c r="A21"/>
  <c r="H18"/>
  <c r="H16"/>
  <c r="H14"/>
  <c r="G23"/>
  <c r="F19"/>
  <c r="F15"/>
  <c r="G16"/>
  <c r="H20"/>
  <c r="H24"/>
  <c r="A14"/>
  <c r="A18"/>
  <c r="B22"/>
  <c r="C25"/>
  <c r="B17"/>
  <c r="E23"/>
  <c r="D19"/>
  <c r="D15"/>
  <c r="G24"/>
  <c r="F16"/>
  <c r="G15"/>
  <c r="G19"/>
  <c r="H23"/>
  <c r="A17"/>
  <c r="B21"/>
  <c r="B25"/>
  <c r="A13"/>
  <c r="A31" s="1"/>
  <c r="B19"/>
  <c r="B14"/>
  <c r="E24"/>
  <c r="E20"/>
  <c r="D16"/>
  <c r="F18"/>
  <c r="C14"/>
  <c r="C16"/>
  <c r="C18"/>
  <c r="D20"/>
  <c r="D22"/>
  <c r="D24"/>
  <c r="E13"/>
  <c r="E15"/>
  <c r="E17"/>
  <c r="E19"/>
  <c r="F21"/>
  <c r="F23"/>
  <c r="F25"/>
  <c r="C13"/>
  <c r="C22"/>
  <c r="B18"/>
  <c r="H19"/>
  <c r="D13"/>
  <c r="A24"/>
  <c r="A22"/>
  <c r="A20"/>
  <c r="H17"/>
  <c r="H15"/>
  <c r="G25"/>
  <c r="G21"/>
  <c r="F17"/>
  <c r="G14"/>
  <c r="G18"/>
  <c r="H22"/>
  <c r="A16"/>
  <c r="B20"/>
  <c r="B24"/>
  <c r="B13"/>
  <c r="C21"/>
  <c r="E25"/>
  <c r="E21"/>
  <c r="D17"/>
  <c r="G20"/>
  <c r="N11" i="49" l="1"/>
  <c r="N45" s="1"/>
  <c r="L11"/>
  <c r="L45" s="1"/>
  <c r="AR11"/>
  <c r="AR45" s="1"/>
  <c r="F43" s="1"/>
  <c r="A11" i="48" a="1"/>
  <c r="A11" s="1"/>
  <c r="I11" s="1"/>
  <c r="AQ11" i="51"/>
  <c r="AQ79" s="1"/>
  <c r="F76" s="1"/>
  <c r="Z11" i="49"/>
  <c r="Z45" s="1"/>
  <c r="AP11"/>
  <c r="T11"/>
  <c r="T45" s="1"/>
  <c r="AJ11"/>
  <c r="X11" i="51"/>
  <c r="X79" s="1"/>
  <c r="AR11"/>
  <c r="AR79" s="1"/>
  <c r="F77" s="1"/>
  <c r="R11"/>
  <c r="AH11"/>
  <c r="AH79" s="1"/>
  <c r="AA11"/>
  <c r="AA79" s="1"/>
  <c r="U11"/>
  <c r="U79" s="1"/>
  <c r="A77" i="50" a="1"/>
  <c r="A77" s="1"/>
  <c r="I77" s="1"/>
  <c r="A78" a="1"/>
  <c r="A78" s="1"/>
  <c r="I78" s="1"/>
  <c r="A42" i="49" a="1"/>
  <c r="A42" s="1"/>
  <c r="I42" s="1"/>
  <c r="A43" a="1"/>
  <c r="A43" s="1"/>
  <c r="I43" s="1"/>
  <c r="O11"/>
  <c r="O45" s="1"/>
  <c r="AE11"/>
  <c r="AE45" s="1"/>
  <c r="AU11"/>
  <c r="AU45" s="1"/>
  <c r="Y11"/>
  <c r="Y45" s="1"/>
  <c r="AO11"/>
  <c r="A79" i="50" a="1"/>
  <c r="A79" s="1"/>
  <c r="I79" s="1"/>
  <c r="A11" a="1"/>
  <c r="A11" s="1"/>
  <c r="I11" s="1"/>
  <c r="A40" i="49" a="1"/>
  <c r="A40" s="1"/>
  <c r="I40" s="1"/>
  <c r="A11" a="1"/>
  <c r="A11" s="1"/>
  <c r="I11" s="1"/>
  <c r="K11"/>
  <c r="K45" s="1"/>
  <c r="S11"/>
  <c r="S45" s="1"/>
  <c r="AA11"/>
  <c r="AA45" s="1"/>
  <c r="AI11"/>
  <c r="AI45" s="1"/>
  <c r="AQ11"/>
  <c r="AQ45" s="1"/>
  <c r="F42" s="1"/>
  <c r="AP42" s="1"/>
  <c r="AP45" s="1"/>
  <c r="M11"/>
  <c r="M45" s="1"/>
  <c r="U11"/>
  <c r="U45" s="1"/>
  <c r="AC11"/>
  <c r="AC45" s="1"/>
  <c r="AK11"/>
  <c r="AK45" s="1"/>
  <c r="F41" s="1"/>
  <c r="AJ41" s="1"/>
  <c r="AJ45" s="1"/>
  <c r="AA11" i="50"/>
  <c r="AA83" s="1"/>
  <c r="U11"/>
  <c r="U83" s="1"/>
  <c r="K11"/>
  <c r="K83" s="1"/>
  <c r="AQ11"/>
  <c r="AQ83" s="1"/>
  <c r="F80" s="1"/>
  <c r="AP80" s="1"/>
  <c r="AP83" s="1"/>
  <c r="AK11"/>
  <c r="AK83" s="1"/>
  <c r="F79" s="1"/>
  <c r="S11"/>
  <c r="S83" s="1"/>
  <c r="AI11"/>
  <c r="AI83" s="1"/>
  <c r="M11"/>
  <c r="M83" s="1"/>
  <c r="AC11"/>
  <c r="AC83" s="1"/>
  <c r="AS11"/>
  <c r="O11"/>
  <c r="O83" s="1"/>
  <c r="W11"/>
  <c r="W83" s="1"/>
  <c r="AE11"/>
  <c r="AE83" s="1"/>
  <c r="AM11"/>
  <c r="AU11"/>
  <c r="AU83" s="1"/>
  <c r="Q11"/>
  <c r="Q83" s="1"/>
  <c r="Y11"/>
  <c r="Y83" s="1"/>
  <c r="AG11"/>
  <c r="AG83" s="1"/>
  <c r="AO11"/>
  <c r="A73" a="1"/>
  <c r="A73" s="1"/>
  <c r="I73" s="1"/>
  <c r="A65" a="1"/>
  <c r="A65" s="1"/>
  <c r="I65" s="1"/>
  <c r="A52" a="1"/>
  <c r="A52" s="1"/>
  <c r="I52" s="1"/>
  <c r="A36" a="1"/>
  <c r="A36" s="1"/>
  <c r="I36" s="1"/>
  <c r="A68" a="1"/>
  <c r="A68" s="1"/>
  <c r="I68" s="1"/>
  <c r="A60" a="1"/>
  <c r="A60" s="1"/>
  <c r="I60" s="1"/>
  <c r="A42" a="1"/>
  <c r="A42" s="1"/>
  <c r="I42" s="1"/>
  <c r="A30" a="1"/>
  <c r="A30" s="1"/>
  <c r="I30" s="1"/>
  <c r="A22" a="1"/>
  <c r="A22" s="1"/>
  <c r="I22" s="1"/>
  <c r="A14" a="1"/>
  <c r="A14" s="1"/>
  <c r="I14" s="1"/>
  <c r="A75" a="1"/>
  <c r="A75" s="1"/>
  <c r="I75" s="1"/>
  <c r="A67" a="1"/>
  <c r="A67" s="1"/>
  <c r="I67" s="1"/>
  <c r="A59" a="1"/>
  <c r="A59" s="1"/>
  <c r="I59" s="1"/>
  <c r="A48" a="1"/>
  <c r="A48" s="1"/>
  <c r="I48" s="1"/>
  <c r="A70" a="1"/>
  <c r="A70" s="1"/>
  <c r="I70" s="1"/>
  <c r="A62" a="1"/>
  <c r="A62" s="1"/>
  <c r="I62" s="1"/>
  <c r="A54" a="1"/>
  <c r="A54" s="1"/>
  <c r="I54" s="1"/>
  <c r="A38" a="1"/>
  <c r="A38" s="1"/>
  <c r="I38" s="1"/>
  <c r="A28" a="1"/>
  <c r="A28" s="1"/>
  <c r="I28" s="1"/>
  <c r="A20" a="1"/>
  <c r="A20" s="1"/>
  <c r="I20" s="1"/>
  <c r="A12" a="1"/>
  <c r="A12" s="1"/>
  <c r="I12" s="1"/>
  <c r="A57" a="1"/>
  <c r="A57" s="1"/>
  <c r="I57" s="1"/>
  <c r="A49" a="1"/>
  <c r="A49" s="1"/>
  <c r="I49" s="1"/>
  <c r="A41" a="1"/>
  <c r="A41" s="1"/>
  <c r="I41" s="1"/>
  <c r="A33" a="1"/>
  <c r="A33" s="1"/>
  <c r="I33" s="1"/>
  <c r="A25" a="1"/>
  <c r="A25" s="1"/>
  <c r="I25" s="1"/>
  <c r="A17" a="1"/>
  <c r="A17" s="1"/>
  <c r="I17" s="1"/>
  <c r="A55" a="1"/>
  <c r="A55" s="1"/>
  <c r="I55" s="1"/>
  <c r="A47" a="1"/>
  <c r="A47" s="1"/>
  <c r="I47" s="1"/>
  <c r="A39" a="1"/>
  <c r="A39" s="1"/>
  <c r="I39" s="1"/>
  <c r="A31" a="1"/>
  <c r="A31" s="1"/>
  <c r="I31" s="1"/>
  <c r="A23" a="1"/>
  <c r="A23" s="1"/>
  <c r="I23" s="1"/>
  <c r="A15" a="1"/>
  <c r="A15" s="1"/>
  <c r="I15" s="1"/>
  <c r="A69" a="1"/>
  <c r="A69" s="1"/>
  <c r="I69" s="1"/>
  <c r="A61" a="1"/>
  <c r="A61" s="1"/>
  <c r="I61" s="1"/>
  <c r="A44" a="1"/>
  <c r="A44" s="1"/>
  <c r="I44" s="1"/>
  <c r="A72" a="1"/>
  <c r="A72" s="1"/>
  <c r="I72" s="1"/>
  <c r="A64" a="1"/>
  <c r="A64" s="1"/>
  <c r="I64" s="1"/>
  <c r="A50" a="1"/>
  <c r="A50" s="1"/>
  <c r="I50" s="1"/>
  <c r="A34" a="1"/>
  <c r="A34" s="1"/>
  <c r="I34" s="1"/>
  <c r="A26" a="1"/>
  <c r="A26" s="1"/>
  <c r="I26" s="1"/>
  <c r="A18" a="1"/>
  <c r="A18" s="1"/>
  <c r="I18" s="1"/>
  <c r="A71" a="1"/>
  <c r="A71" s="1"/>
  <c r="I71" s="1"/>
  <c r="A63" a="1"/>
  <c r="A63" s="1"/>
  <c r="I63" s="1"/>
  <c r="A56" a="1"/>
  <c r="A56" s="1"/>
  <c r="I56" s="1"/>
  <c r="A40" a="1"/>
  <c r="A40" s="1"/>
  <c r="I40" s="1"/>
  <c r="A74" a="1"/>
  <c r="A74" s="1"/>
  <c r="I74" s="1"/>
  <c r="A66" a="1"/>
  <c r="A66" s="1"/>
  <c r="I66" s="1"/>
  <c r="A58" a="1"/>
  <c r="A58" s="1"/>
  <c r="I58" s="1"/>
  <c r="A46" a="1"/>
  <c r="A46" s="1"/>
  <c r="I46" s="1"/>
  <c r="A32" a="1"/>
  <c r="A32" s="1"/>
  <c r="I32" s="1"/>
  <c r="A24" a="1"/>
  <c r="A24" s="1"/>
  <c r="I24" s="1"/>
  <c r="A16" a="1"/>
  <c r="A16" s="1"/>
  <c r="I16" s="1"/>
  <c r="A53" a="1"/>
  <c r="A53" s="1"/>
  <c r="I53" s="1"/>
  <c r="A45" a="1"/>
  <c r="A45" s="1"/>
  <c r="I45" s="1"/>
  <c r="A37" a="1"/>
  <c r="A37" s="1"/>
  <c r="I37" s="1"/>
  <c r="A29" a="1"/>
  <c r="A29" s="1"/>
  <c r="I29" s="1"/>
  <c r="A21" a="1"/>
  <c r="A21" s="1"/>
  <c r="I21" s="1"/>
  <c r="A13" a="1"/>
  <c r="A13" s="1"/>
  <c r="I13" s="1"/>
  <c r="A51" a="1"/>
  <c r="A51" s="1"/>
  <c r="I51" s="1"/>
  <c r="A43" a="1"/>
  <c r="A43" s="1"/>
  <c r="I43" s="1"/>
  <c r="A35" a="1"/>
  <c r="A35" s="1"/>
  <c r="I35" s="1"/>
  <c r="A27" a="1"/>
  <c r="A27" s="1"/>
  <c r="I27" s="1"/>
  <c r="A19" a="1"/>
  <c r="A19" s="1"/>
  <c r="I19" s="1"/>
  <c r="A13" i="49" a="1"/>
  <c r="A13" s="1"/>
  <c r="I13" s="1"/>
  <c r="A37" a="1"/>
  <c r="A37" s="1"/>
  <c r="I37" s="1"/>
  <c r="A29" a="1"/>
  <c r="A29" s="1"/>
  <c r="I29" s="1"/>
  <c r="A21" a="1"/>
  <c r="A21" s="1"/>
  <c r="I21" s="1"/>
  <c r="A35" a="1"/>
  <c r="A35" s="1"/>
  <c r="I35" s="1"/>
  <c r="A27" a="1"/>
  <c r="A27" s="1"/>
  <c r="I27" s="1"/>
  <c r="A19" a="1"/>
  <c r="A19" s="1"/>
  <c r="I19" s="1"/>
  <c r="A36" a="1"/>
  <c r="A36" s="1"/>
  <c r="I36" s="1"/>
  <c r="A28" a="1"/>
  <c r="A28" s="1"/>
  <c r="I28" s="1"/>
  <c r="A20" a="1"/>
  <c r="A20" s="1"/>
  <c r="I20" s="1"/>
  <c r="A12" a="1"/>
  <c r="A12" s="1"/>
  <c r="I12" s="1"/>
  <c r="A30" a="1"/>
  <c r="A30" s="1"/>
  <c r="I30" s="1"/>
  <c r="A22" a="1"/>
  <c r="A22" s="1"/>
  <c r="I22" s="1"/>
  <c r="A14" a="1"/>
  <c r="A14" s="1"/>
  <c r="I14" s="1"/>
  <c r="A33" a="1"/>
  <c r="A33" s="1"/>
  <c r="I33" s="1"/>
  <c r="A25" a="1"/>
  <c r="A25" s="1"/>
  <c r="I25" s="1"/>
  <c r="A17" a="1"/>
  <c r="A17" s="1"/>
  <c r="I17" s="1"/>
  <c r="A31" a="1"/>
  <c r="A31" s="1"/>
  <c r="I31" s="1"/>
  <c r="A23" a="1"/>
  <c r="A23" s="1"/>
  <c r="I23" s="1"/>
  <c r="A15" a="1"/>
  <c r="A15" s="1"/>
  <c r="I15" s="1"/>
  <c r="A32" a="1"/>
  <c r="A32" s="1"/>
  <c r="I32" s="1"/>
  <c r="A24" a="1"/>
  <c r="A24" s="1"/>
  <c r="I24" s="1"/>
  <c r="A16" a="1"/>
  <c r="A16" s="1"/>
  <c r="I16" s="1"/>
  <c r="A34" a="1"/>
  <c r="A34" s="1"/>
  <c r="I34" s="1"/>
  <c r="A26" a="1"/>
  <c r="A26" s="1"/>
  <c r="I26" s="1"/>
  <c r="A18" a="1"/>
  <c r="A18" s="1"/>
  <c r="I18" s="1"/>
  <c r="A55" i="48" a="1"/>
  <c r="A55" s="1"/>
  <c r="I55" s="1"/>
  <c r="A54" a="1"/>
  <c r="A54" s="1"/>
  <c r="I54" s="1"/>
  <c r="A53" a="1"/>
  <c r="A53" s="1"/>
  <c r="I53" s="1"/>
  <c r="A52" a="1"/>
  <c r="A52" s="1"/>
  <c r="I52" s="1"/>
  <c r="A44" a="1"/>
  <c r="A44" s="1"/>
  <c r="I44" s="1"/>
  <c r="A47" a="1"/>
  <c r="A47" s="1"/>
  <c r="I47" s="1"/>
  <c r="A39" a="1"/>
  <c r="A39" s="1"/>
  <c r="I39" s="1"/>
  <c r="A46" a="1"/>
  <c r="A46" s="1"/>
  <c r="I46" s="1"/>
  <c r="A45" a="1"/>
  <c r="A45" s="1"/>
  <c r="I45" s="1"/>
  <c r="A48" a="1"/>
  <c r="A48" s="1"/>
  <c r="I48" s="1"/>
  <c r="A40" a="1"/>
  <c r="A40" s="1"/>
  <c r="I40" s="1"/>
  <c r="A51" a="1"/>
  <c r="A51" s="1"/>
  <c r="I51" s="1"/>
  <c r="A43" a="1"/>
  <c r="A43" s="1"/>
  <c r="I43" s="1"/>
  <c r="A50" a="1"/>
  <c r="A50" s="1"/>
  <c r="I50" s="1"/>
  <c r="A42" a="1"/>
  <c r="A42" s="1"/>
  <c r="I42" s="1"/>
  <c r="A49" a="1"/>
  <c r="A49" s="1"/>
  <c r="I49" s="1"/>
  <c r="A41" a="1"/>
  <c r="A41" s="1"/>
  <c r="I41" s="1"/>
  <c r="A56" a="1"/>
  <c r="A56" s="1"/>
  <c r="I56" s="1"/>
  <c r="A12" a="1"/>
  <c r="A12" s="1"/>
  <c r="I12" s="1"/>
  <c r="A36" a="1"/>
  <c r="A36" s="1"/>
  <c r="I36" s="1"/>
  <c r="A28" a="1"/>
  <c r="A28" s="1"/>
  <c r="I28" s="1"/>
  <c r="A20" a="1"/>
  <c r="A20" s="1"/>
  <c r="I20" s="1"/>
  <c r="A31" a="1"/>
  <c r="A31" s="1"/>
  <c r="I31" s="1"/>
  <c r="A23" a="1"/>
  <c r="A23" s="1"/>
  <c r="I23" s="1"/>
  <c r="A15" a="1"/>
  <c r="A15" s="1"/>
  <c r="I15" s="1"/>
  <c r="A38" a="1"/>
  <c r="A38" s="1"/>
  <c r="I38" s="1"/>
  <c r="A30" a="1"/>
  <c r="A30" s="1"/>
  <c r="I30" s="1"/>
  <c r="A22" a="1"/>
  <c r="A22" s="1"/>
  <c r="I22" s="1"/>
  <c r="A14" a="1"/>
  <c r="A14" s="1"/>
  <c r="I14" s="1"/>
  <c r="A33" a="1"/>
  <c r="A33" s="1"/>
  <c r="I33" s="1"/>
  <c r="A25" a="1"/>
  <c r="A25" s="1"/>
  <c r="I25" s="1"/>
  <c r="A17" a="1"/>
  <c r="A17" s="1"/>
  <c r="I17" s="1"/>
  <c r="A32" a="1"/>
  <c r="A32" s="1"/>
  <c r="I32" s="1"/>
  <c r="A24" a="1"/>
  <c r="A24" s="1"/>
  <c r="I24" s="1"/>
  <c r="A16" a="1"/>
  <c r="A16" s="1"/>
  <c r="I16" s="1"/>
  <c r="A35" a="1"/>
  <c r="A35" s="1"/>
  <c r="I35" s="1"/>
  <c r="A27" a="1"/>
  <c r="A27" s="1"/>
  <c r="I27" s="1"/>
  <c r="A19" a="1"/>
  <c r="A19" s="1"/>
  <c r="I19" s="1"/>
  <c r="A34" a="1"/>
  <c r="A34" s="1"/>
  <c r="I34" s="1"/>
  <c r="A26" a="1"/>
  <c r="A26" s="1"/>
  <c r="I26" s="1"/>
  <c r="A18" a="1"/>
  <c r="A18" s="1"/>
  <c r="I18" s="1"/>
  <c r="A37" a="1"/>
  <c r="A37" s="1"/>
  <c r="I37" s="1"/>
  <c r="A29" a="1"/>
  <c r="A29" s="1"/>
  <c r="I29" s="1"/>
  <c r="A21" a="1"/>
  <c r="A21" s="1"/>
  <c r="I21" s="1"/>
  <c r="A13" a="1"/>
  <c r="A13" s="1"/>
  <c r="I13" s="1"/>
  <c r="J11" i="49"/>
  <c r="J45" s="1"/>
  <c r="V11"/>
  <c r="V45" s="1"/>
  <c r="AD11"/>
  <c r="AD45" s="1"/>
  <c r="AL11"/>
  <c r="AL45" s="1"/>
  <c r="F38" s="1"/>
  <c r="R38" s="1"/>
  <c r="R45" s="1"/>
  <c r="AT11"/>
  <c r="AT45" s="1"/>
  <c r="P11"/>
  <c r="P45" s="1"/>
  <c r="X11"/>
  <c r="X45" s="1"/>
  <c r="AF11"/>
  <c r="AF45" s="1"/>
  <c r="AN11"/>
  <c r="AN45" s="1"/>
  <c r="F39" s="1"/>
  <c r="L11" i="51"/>
  <c r="L79" s="1"/>
  <c r="T11"/>
  <c r="T79" s="1"/>
  <c r="AB11"/>
  <c r="AB79" s="1"/>
  <c r="AJ11"/>
  <c r="AV11"/>
  <c r="N11"/>
  <c r="N79" s="1"/>
  <c r="V11"/>
  <c r="V79" s="1"/>
  <c r="AD11"/>
  <c r="AD79" s="1"/>
  <c r="AL11"/>
  <c r="AL79" s="1"/>
  <c r="F72" s="1"/>
  <c r="AM72" s="1"/>
  <c r="A62" i="48" a="1"/>
  <c r="A62" s="1"/>
  <c r="I62" s="1"/>
  <c r="A60" a="1"/>
  <c r="A60" s="1"/>
  <c r="I60" s="1"/>
  <c r="S11" i="51"/>
  <c r="S79" s="1"/>
  <c r="AI11"/>
  <c r="AI79" s="1"/>
  <c r="M11"/>
  <c r="M79" s="1"/>
  <c r="AC11"/>
  <c r="AC79" s="1"/>
  <c r="AS11"/>
  <c r="A59" i="48" a="1"/>
  <c r="A59" s="1"/>
  <c r="I59" s="1"/>
  <c r="A58" a="1"/>
  <c r="A58" s="1"/>
  <c r="I58" s="1"/>
  <c r="A57" a="1"/>
  <c r="A57" s="1"/>
  <c r="I57" s="1"/>
  <c r="O11" i="51"/>
  <c r="O79" s="1"/>
  <c r="W11"/>
  <c r="W79" s="1"/>
  <c r="AE11"/>
  <c r="AE79" s="1"/>
  <c r="AM11"/>
  <c r="AU11"/>
  <c r="AU79" s="1"/>
  <c r="Q11"/>
  <c r="Q79" s="1"/>
  <c r="Y11"/>
  <c r="Y79" s="1"/>
  <c r="AG11"/>
  <c r="AG79" s="1"/>
  <c r="AO11"/>
  <c r="J65" i="48"/>
  <c r="J10" i="49" s="1"/>
  <c r="J66" i="48"/>
  <c r="Z65"/>
  <c r="Z10" i="49" s="1"/>
  <c r="Z66" i="48"/>
  <c r="Z47" i="49" s="1"/>
  <c r="Z85" i="50" s="1"/>
  <c r="Z81" i="51" s="1"/>
  <c r="L65" i="48"/>
  <c r="L10" i="49" s="1"/>
  <c r="L66" i="48"/>
  <c r="L47" i="49" s="1"/>
  <c r="L85" i="50" s="1"/>
  <c r="T65" i="48"/>
  <c r="T10" i="49" s="1"/>
  <c r="T66" i="48"/>
  <c r="T47" i="49" s="1"/>
  <c r="T85" i="50" s="1"/>
  <c r="AB66" i="48"/>
  <c r="AB47" i="49" s="1"/>
  <c r="AB85" i="50" s="1"/>
  <c r="AB65" i="48"/>
  <c r="AB10" i="49" s="1"/>
  <c r="F62" i="48"/>
  <c r="AR66"/>
  <c r="AR47" i="49" s="1"/>
  <c r="AR85" i="50" s="1"/>
  <c r="AR81" i="51" s="1"/>
  <c r="AS43" i="49"/>
  <c r="AS45" s="1"/>
  <c r="AV43"/>
  <c r="AO73" i="51"/>
  <c r="AV73"/>
  <c r="AV77" i="50"/>
  <c r="AO77"/>
  <c r="AO83" s="1"/>
  <c r="R76"/>
  <c r="R83" s="1"/>
  <c r="AM76"/>
  <c r="AM83" s="1"/>
  <c r="O66" i="48"/>
  <c r="O47" i="49" s="1"/>
  <c r="O85" i="50" s="1"/>
  <c r="O65" i="48"/>
  <c r="O10" i="49" s="1"/>
  <c r="W66" i="48"/>
  <c r="W65"/>
  <c r="W10" i="49" s="1"/>
  <c r="AE66" i="48"/>
  <c r="AE47" i="49" s="1"/>
  <c r="AE85" i="50" s="1"/>
  <c r="AE65" i="48"/>
  <c r="AE10" i="49" s="1"/>
  <c r="AU66" i="48"/>
  <c r="AU47" i="49" s="1"/>
  <c r="AU85" i="50" s="1"/>
  <c r="AU65" i="48"/>
  <c r="AU10" i="49" s="1"/>
  <c r="Q66" i="48"/>
  <c r="Q47" i="49" s="1"/>
  <c r="Q65" i="48"/>
  <c r="Q10" i="49" s="1"/>
  <c r="Y66" i="48"/>
  <c r="Y47" i="49" s="1"/>
  <c r="Y85" i="50" s="1"/>
  <c r="Y65" i="48"/>
  <c r="Y10" i="49" s="1"/>
  <c r="AG66" i="48"/>
  <c r="AG47" i="49" s="1"/>
  <c r="AG65" i="48"/>
  <c r="AG10" i="49" s="1"/>
  <c r="W47"/>
  <c r="N66" i="48"/>
  <c r="N47" i="49" s="1"/>
  <c r="N85" i="50" s="1"/>
  <c r="N65" i="48"/>
  <c r="N10" i="49" s="1"/>
  <c r="V66" i="48"/>
  <c r="V65"/>
  <c r="V10" i="49" s="1"/>
  <c r="AD65" i="48"/>
  <c r="AD10" i="49" s="1"/>
  <c r="AD66" i="48"/>
  <c r="AL66"/>
  <c r="F57"/>
  <c r="AT65"/>
  <c r="AT10" i="49" s="1"/>
  <c r="AT66" i="48"/>
  <c r="P65"/>
  <c r="P10" i="49" s="1"/>
  <c r="P66" i="48"/>
  <c r="X66"/>
  <c r="X65"/>
  <c r="X10" i="49" s="1"/>
  <c r="AF65" i="48"/>
  <c r="AF10" i="49" s="1"/>
  <c r="AF66" i="48"/>
  <c r="F58"/>
  <c r="AN66"/>
  <c r="AS77" i="51"/>
  <c r="AV77"/>
  <c r="AV81" i="50"/>
  <c r="AS81"/>
  <c r="K66" i="48"/>
  <c r="K47" i="49" s="1"/>
  <c r="K85" i="50" s="1"/>
  <c r="K81" i="51" s="1"/>
  <c r="K65" i="48"/>
  <c r="K10" i="49" s="1"/>
  <c r="S66" i="48"/>
  <c r="S47" i="49" s="1"/>
  <c r="S85" i="50" s="1"/>
  <c r="AA66" i="48"/>
  <c r="AA65"/>
  <c r="AA10" i="49" s="1"/>
  <c r="AI66" i="48"/>
  <c r="AI47" i="49" s="1"/>
  <c r="AI85" i="50" s="1"/>
  <c r="F61" i="48"/>
  <c r="AQ66"/>
  <c r="M66"/>
  <c r="M47" i="49" s="1"/>
  <c r="M85" i="50" s="1"/>
  <c r="M65" i="48"/>
  <c r="M10" i="49" s="1"/>
  <c r="U66" i="48"/>
  <c r="U47" i="49" s="1"/>
  <c r="U85" i="50" s="1"/>
  <c r="U81" i="51" s="1"/>
  <c r="U65" i="48"/>
  <c r="U10" i="49" s="1"/>
  <c r="AC66" i="48"/>
  <c r="AC47" i="49" s="1"/>
  <c r="AC85" i="50" s="1"/>
  <c r="AC65" i="48"/>
  <c r="AC10" i="49" s="1"/>
  <c r="AK66" i="48"/>
  <c r="AK47" i="49" s="1"/>
  <c r="AK85" i="50" s="1"/>
  <c r="AK81" i="51" s="1"/>
  <c r="F60" i="48"/>
  <c r="AW80" i="50"/>
  <c r="AJ79"/>
  <c r="AJ83" s="1"/>
  <c r="AW79"/>
  <c r="AP76" i="51"/>
  <c r="AP79" s="1"/>
  <c r="AW76"/>
  <c r="AJ75"/>
  <c r="AW75"/>
  <c r="AW79" s="1"/>
  <c r="AW42" i="49"/>
  <c r="AW41"/>
  <c r="I21" i="47"/>
  <c r="H21"/>
  <c r="D34" i="44"/>
  <c r="D35" s="1"/>
  <c r="G27" i="42"/>
  <c r="H27"/>
  <c r="I13"/>
  <c r="I14" s="1"/>
  <c r="I15" s="1"/>
  <c r="I16" s="1"/>
  <c r="I17" s="1"/>
  <c r="I18" s="1"/>
  <c r="I19" s="1"/>
  <c r="I20" s="1"/>
  <c r="I21" s="1"/>
  <c r="I22" s="1"/>
  <c r="I23" s="1"/>
  <c r="I24" s="1"/>
  <c r="I25" s="1"/>
  <c r="G71" i="43"/>
  <c r="H71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AO79" i="51" l="1"/>
  <c r="AQ47" i="49"/>
  <c r="AA47"/>
  <c r="AA85" i="50" s="1"/>
  <c r="AA81" i="51" s="1"/>
  <c r="AQ85" i="50"/>
  <c r="AQ81" i="51" s="1"/>
  <c r="AS83" i="50"/>
  <c r="W85"/>
  <c r="AG85"/>
  <c r="Q85"/>
  <c r="AC46" i="49"/>
  <c r="AC10" i="50" s="1"/>
  <c r="L81" i="51"/>
  <c r="X47" i="49"/>
  <c r="X85" i="50" s="1"/>
  <c r="X81" i="51" s="1"/>
  <c r="AT46" i="49"/>
  <c r="AT10" i="50" s="1"/>
  <c r="AD46" i="49"/>
  <c r="AD10" i="50" s="1"/>
  <c r="N81" i="51"/>
  <c r="AM38" i="49"/>
  <c r="AM45" s="1"/>
  <c r="AF46"/>
  <c r="AF10" i="50" s="1"/>
  <c r="P46" i="49"/>
  <c r="P10" i="50" s="1"/>
  <c r="AL47" i="49"/>
  <c r="AL85" i="50" s="1"/>
  <c r="AL81" i="51" s="1"/>
  <c r="V47" i="49"/>
  <c r="V85" i="50" s="1"/>
  <c r="V81" i="51" s="1"/>
  <c r="R72"/>
  <c r="R79" s="1"/>
  <c r="AJ79"/>
  <c r="M81"/>
  <c r="K46" i="49"/>
  <c r="K10" i="50" s="1"/>
  <c r="AN47" i="49"/>
  <c r="AN85" i="50" s="1"/>
  <c r="AN81" i="51" s="1"/>
  <c r="S81"/>
  <c r="AS79"/>
  <c r="AT47" i="49"/>
  <c r="AT85" i="50" s="1"/>
  <c r="AT81" i="51" s="1"/>
  <c r="AD47" i="49"/>
  <c r="AD85" i="50" s="1"/>
  <c r="AD81" i="51" s="1"/>
  <c r="Y81"/>
  <c r="AU81"/>
  <c r="AE81"/>
  <c r="O81"/>
  <c r="T81"/>
  <c r="J47" i="49"/>
  <c r="J85" i="50" s="1"/>
  <c r="J81" i="51" s="1"/>
  <c r="AC81"/>
  <c r="AI81"/>
  <c r="AF47" i="49"/>
  <c r="AF85" i="50" s="1"/>
  <c r="AF81" i="51" s="1"/>
  <c r="P47" i="49"/>
  <c r="P85" i="50" s="1"/>
  <c r="P81" i="51" s="1"/>
  <c r="AB81"/>
  <c r="W81"/>
  <c r="AG81"/>
  <c r="Q81"/>
  <c r="AM79"/>
  <c r="U46" i="49"/>
  <c r="U10" i="50" s="1"/>
  <c r="M46" i="49"/>
  <c r="M10" i="50" s="1"/>
  <c r="AA46" i="49"/>
  <c r="AA10" i="50" s="1"/>
  <c r="AV83"/>
  <c r="AV79" i="51"/>
  <c r="X46" i="49"/>
  <c r="X10" i="50" s="1"/>
  <c r="V46" i="49"/>
  <c r="V10" i="50" s="1"/>
  <c r="N46" i="49"/>
  <c r="N10" i="50" s="1"/>
  <c r="AV58" i="48"/>
  <c r="AO58"/>
  <c r="AO64" s="1"/>
  <c r="AM57"/>
  <c r="AM64" s="1"/>
  <c r="R57"/>
  <c r="R64" s="1"/>
  <c r="AS62"/>
  <c r="AS64" s="1"/>
  <c r="AV62"/>
  <c r="AG46" i="49"/>
  <c r="AG10" i="50" s="1"/>
  <c r="Y46" i="49"/>
  <c r="Y10" i="50" s="1"/>
  <c r="Y84" s="1"/>
  <c r="Y10" i="51" s="1"/>
  <c r="Q46" i="49"/>
  <c r="Q10" i="50" s="1"/>
  <c r="AU46" i="49"/>
  <c r="AU10" i="50" s="1"/>
  <c r="AE46" i="49"/>
  <c r="AE10" i="50" s="1"/>
  <c r="W46" i="49"/>
  <c r="W10" i="50" s="1"/>
  <c r="O46" i="49"/>
  <c r="O10" i="50" s="1"/>
  <c r="T46" i="49"/>
  <c r="T10" i="50" s="1"/>
  <c r="L46" i="49"/>
  <c r="L10" i="50" s="1"/>
  <c r="Z46" i="49"/>
  <c r="Z10" i="50" s="1"/>
  <c r="J46" i="49"/>
  <c r="J10" i="50" s="1"/>
  <c r="AW60" i="48"/>
  <c r="AJ60"/>
  <c r="AJ64" s="1"/>
  <c r="AW61"/>
  <c r="AP61"/>
  <c r="AP64" s="1"/>
  <c r="AV39" i="49"/>
  <c r="AV45" s="1"/>
  <c r="F40" s="1"/>
  <c r="AO39"/>
  <c r="AO45" s="1"/>
  <c r="X84" i="50"/>
  <c r="X10" i="51" s="1"/>
  <c r="X80" s="1"/>
  <c r="AB46" i="49"/>
  <c r="AB10" i="50" s="1"/>
  <c r="H22" i="47"/>
  <c r="I22"/>
  <c r="I28" i="42"/>
  <c r="I71" i="43"/>
  <c r="I72" s="1"/>
  <c r="AG84" i="50" l="1"/>
  <c r="AG10" i="51" s="1"/>
  <c r="U84" i="50"/>
  <c r="U10" i="51" s="1"/>
  <c r="AB84" i="50"/>
  <c r="AB10" i="51" s="1"/>
  <c r="Z84" i="50"/>
  <c r="Z10" i="51" s="1"/>
  <c r="T84" i="50"/>
  <c r="T10" i="51" s="1"/>
  <c r="M84" i="50"/>
  <c r="M10" i="51" s="1"/>
  <c r="L84" i="50"/>
  <c r="L10" i="51" s="1"/>
  <c r="AW78" i="50"/>
  <c r="AW83" s="1"/>
  <c r="AH78"/>
  <c r="AH83" s="1"/>
  <c r="AW40" i="49"/>
  <c r="AW45" s="1"/>
  <c r="AH40"/>
  <c r="AH45" s="1"/>
  <c r="AU84" i="50"/>
  <c r="AU10" i="51" s="1"/>
  <c r="AD84" i="50"/>
  <c r="AD10" i="51" s="1"/>
  <c r="AE84" i="50"/>
  <c r="AE10" i="51" s="1"/>
  <c r="Q84" i="50"/>
  <c r="Q10" i="51" s="1"/>
  <c r="J84" i="50"/>
  <c r="J10" i="51" s="1"/>
  <c r="O84" i="50"/>
  <c r="O10" i="51" s="1"/>
  <c r="W84" i="50"/>
  <c r="W10" i="51" s="1"/>
  <c r="AF84" i="50"/>
  <c r="AF10" i="51" s="1"/>
  <c r="R66" i="48"/>
  <c r="R47" i="49" s="1"/>
  <c r="R85" i="50" s="1"/>
  <c r="R81" i="51" s="1"/>
  <c r="R65" i="48"/>
  <c r="R10" i="49" s="1"/>
  <c r="S65" i="48"/>
  <c r="S10" i="49" s="1"/>
  <c r="AO66" i="48"/>
  <c r="AO47" i="49" s="1"/>
  <c r="AO85" i="50" s="1"/>
  <c r="AO81" i="51" s="1"/>
  <c r="AO65" i="48"/>
  <c r="AO10" i="49" s="1"/>
  <c r="AN65" i="48"/>
  <c r="AN10" i="49" s="1"/>
  <c r="AC84" i="50"/>
  <c r="AC10" i="51" s="1"/>
  <c r="Y80"/>
  <c r="N84" i="50"/>
  <c r="N10" i="51" s="1"/>
  <c r="AT84" i="50"/>
  <c r="AT10" i="51" s="1"/>
  <c r="AT80" s="1"/>
  <c r="AA84" i="50"/>
  <c r="AA10" i="51" s="1"/>
  <c r="AP66" i="48"/>
  <c r="AP47" i="49" s="1"/>
  <c r="AP85" i="50" s="1"/>
  <c r="AP81" i="51" s="1"/>
  <c r="AP65" i="48"/>
  <c r="AP10" i="49" s="1"/>
  <c r="AQ65" i="48"/>
  <c r="AQ10" i="49" s="1"/>
  <c r="AJ66" i="48"/>
  <c r="AJ47" i="49" s="1"/>
  <c r="AJ85" i="50" s="1"/>
  <c r="AJ81" i="51" s="1"/>
  <c r="AJ65" i="48"/>
  <c r="AJ10" i="49" s="1"/>
  <c r="AK65" i="48"/>
  <c r="AK10" i="49" s="1"/>
  <c r="AS66" i="48"/>
  <c r="AS47" i="49" s="1"/>
  <c r="AS85" i="50" s="1"/>
  <c r="AS81" i="51" s="1"/>
  <c r="AS65" i="48"/>
  <c r="AS10" i="49" s="1"/>
  <c r="AR65" i="48"/>
  <c r="AR10" i="49" s="1"/>
  <c r="AM65" i="48"/>
  <c r="AM10" i="49" s="1"/>
  <c r="AM66" i="48"/>
  <c r="AM47" i="49" s="1"/>
  <c r="AM85" i="50" s="1"/>
  <c r="AM81" i="51" s="1"/>
  <c r="AL65" i="48"/>
  <c r="AL10" i="49" s="1"/>
  <c r="AL46" s="1"/>
  <c r="AL10" i="50" s="1"/>
  <c r="V84"/>
  <c r="V10" i="51" s="1"/>
  <c r="P84" i="50"/>
  <c r="P10" i="51" s="1"/>
  <c r="K84" i="50"/>
  <c r="K10" i="51" s="1"/>
  <c r="K80" s="1"/>
  <c r="AV64" i="48"/>
  <c r="F59" s="1"/>
  <c r="I23" i="47"/>
  <c r="H23"/>
  <c r="AC80" i="51" l="1"/>
  <c r="AA80"/>
  <c r="AF80"/>
  <c r="L80"/>
  <c r="L86" s="1"/>
  <c r="U80"/>
  <c r="T80"/>
  <c r="M80"/>
  <c r="AH59" i="48"/>
  <c r="AH64" s="1"/>
  <c r="AW59"/>
  <c r="AW64" s="1"/>
  <c r="AW66" s="1"/>
  <c r="AW47" i="49" s="1"/>
  <c r="AW85" i="50" s="1"/>
  <c r="AW81" i="51" s="1"/>
  <c r="P80"/>
  <c r="AE80"/>
  <c r="AD80"/>
  <c r="V80"/>
  <c r="O80"/>
  <c r="N80"/>
  <c r="AN46" i="49"/>
  <c r="AN10" i="50" s="1"/>
  <c r="R46" i="49"/>
  <c r="R10" i="50" s="1"/>
  <c r="AG80" i="51"/>
  <c r="AS46" i="49"/>
  <c r="AS10" i="50" s="1"/>
  <c r="AK46" i="49"/>
  <c r="AK10" i="50" s="1"/>
  <c r="AP46" i="49"/>
  <c r="AP10" i="50" s="1"/>
  <c r="S46" i="49"/>
  <c r="S10" i="50" s="1"/>
  <c r="AM46" i="49"/>
  <c r="AM10" i="50" s="1"/>
  <c r="AM84" s="1"/>
  <c r="AM10" i="51" s="1"/>
  <c r="AU80"/>
  <c r="AB80"/>
  <c r="AO46" i="49"/>
  <c r="AO10" i="50" s="1"/>
  <c r="AV66" i="48"/>
  <c r="AV47" i="49" s="1"/>
  <c r="AV85" i="50" s="1"/>
  <c r="AV81" i="51" s="1"/>
  <c r="Q80"/>
  <c r="J80"/>
  <c r="AR46" i="49"/>
  <c r="AR10" i="50" s="1"/>
  <c r="AJ46" i="49"/>
  <c r="AJ10" i="50" s="1"/>
  <c r="AQ46" i="49"/>
  <c r="AQ10" i="50" s="1"/>
  <c r="W80" i="51"/>
  <c r="Z80"/>
  <c r="H24" i="47"/>
  <c r="I24"/>
  <c r="AJ84" i="50" l="1"/>
  <c r="AJ10" i="51" s="1"/>
  <c r="AV65" i="48"/>
  <c r="AV10" i="49" s="1"/>
  <c r="AW65" i="48"/>
  <c r="AW10" i="49" s="1"/>
  <c r="AQ84" i="50"/>
  <c r="AQ10" i="51" s="1"/>
  <c r="AR84" i="50"/>
  <c r="AR10" i="51" s="1"/>
  <c r="AH65" i="48"/>
  <c r="AH10" i="49" s="1"/>
  <c r="AI65" i="48"/>
  <c r="AI10" i="49" s="1"/>
  <c r="AH66" i="48"/>
  <c r="AH47" i="49" s="1"/>
  <c r="AH85" i="50" s="1"/>
  <c r="AH81" i="51" s="1"/>
  <c r="AO84" i="50"/>
  <c r="AO10" i="51" s="1"/>
  <c r="AN84" i="50"/>
  <c r="AN10" i="51" s="1"/>
  <c r="S84" i="50"/>
  <c r="S10" i="51" s="1"/>
  <c r="R84" i="50"/>
  <c r="R10" i="51" s="1"/>
  <c r="AP84" i="50"/>
  <c r="AP10" i="51" s="1"/>
  <c r="AS84" i="50"/>
  <c r="AS10" i="51" s="1"/>
  <c r="AL84" i="50"/>
  <c r="AL10" i="51" s="1"/>
  <c r="AL80" s="1"/>
  <c r="AK84" i="50"/>
  <c r="AK10" i="51" s="1"/>
  <c r="AW46" i="49"/>
  <c r="AW10" i="50" s="1"/>
  <c r="I25" i="47"/>
  <c r="H25"/>
  <c r="AK80" i="51" l="1"/>
  <c r="AV46" i="49"/>
  <c r="AV10" i="50" s="1"/>
  <c r="AV84" s="1"/>
  <c r="AV10" i="51" s="1"/>
  <c r="AP80"/>
  <c r="AS80"/>
  <c r="AI46" i="49"/>
  <c r="AI10" i="50" s="1"/>
  <c r="AH46" i="49"/>
  <c r="AH10" i="50" s="1"/>
  <c r="AN80" i="51"/>
  <c r="AR80"/>
  <c r="AM80"/>
  <c r="AO80"/>
  <c r="R80"/>
  <c r="S80"/>
  <c r="AQ80"/>
  <c r="AJ80"/>
  <c r="H26" i="47"/>
  <c r="I26"/>
  <c r="AW84" i="50" l="1"/>
  <c r="AW10" i="51" s="1"/>
  <c r="AV80" s="1"/>
  <c r="AI84" i="50"/>
  <c r="AI10" i="51" s="1"/>
  <c r="AH84" i="50"/>
  <c r="AH10" i="51" s="1"/>
  <c r="I27" i="47"/>
  <c r="H27"/>
  <c r="H28" s="1"/>
  <c r="AW80" i="51" l="1"/>
  <c r="AI80"/>
  <c r="AH80"/>
  <c r="H29" i="47"/>
  <c r="H30" s="1"/>
  <c r="I28"/>
  <c r="I29" s="1"/>
  <c r="H31" l="1"/>
  <c r="H32" s="1"/>
  <c r="I30"/>
  <c r="I31" s="1"/>
  <c r="I32" l="1"/>
</calcChain>
</file>

<file path=xl/sharedStrings.xml><?xml version="1.0" encoding="utf-8"?>
<sst xmlns="http://schemas.openxmlformats.org/spreadsheetml/2006/main" count="1792" uniqueCount="364">
  <si>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</si>
  <si>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</si>
  <si>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</si>
  <si>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</si>
  <si>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</si>
  <si>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</si>
  <si>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</si>
  <si>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</si>
  <si>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</si>
  <si>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</si>
  <si>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</si>
  <si>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GBC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</si>
  <si>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</si>
  <si>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</si>
  <si>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</si>
  <si>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</si>
  <si>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</si>
  <si>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</si>
  <si>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</si>
  <si>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</si>
  <si>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</si>
  <si>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</si>
  <si>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</si>
  <si>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3388</t>
  </si>
  <si>
    <t>3338</t>
  </si>
  <si>
    <t>x</t>
  </si>
  <si>
    <t>VAT Phí duy trì DV SMS</t>
  </si>
  <si>
    <t>An Lạc LA- Ứng vốn</t>
  </si>
  <si>
    <t>Phí duy trì DV SMS - 0982911262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</si>
  <si>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</si>
  <si>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</si>
  <si>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</si>
  <si>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</si>
  <si>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</si>
  <si>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</si>
  <si>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</si>
  <si>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</si>
  <si>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</si>
  <si>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</si>
  <si>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</si>
  <si>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</si>
  <si>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</si>
  <si>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</si>
  <si>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</si>
  <si>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</si>
  <si>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</si>
  <si>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</si>
  <si>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</si>
  <si>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</si>
  <si>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CTGS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</si>
  <si>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</si>
  <si>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</si>
  <si>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</si>
  <si>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</si>
  <si>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</si>
  <si>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</si>
  <si>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Cty TNHH MTV Công Nghệ Môi Trường CDM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</si>
  <si>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</si>
  <si>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</si>
  <si>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</si>
  <si>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</si>
  <si>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</si>
  <si>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</si>
  <si>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</si>
  <si>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</si>
  <si>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</si>
  <si>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</si>
  <si>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</si>
  <si>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SỐ DƯ CUỐI KỲ</t>
  </si>
  <si>
    <t>NỢ</t>
  </si>
  <si>
    <t>CÓ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</si>
  <si>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</si>
  <si>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</si>
  <si>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</si>
  <si>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</si>
  <si>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</t>
  </si>
  <si>
    <t>Lãi vay KU 1402LDS201401630</t>
  </si>
  <si>
    <t>Cty TNHH Một Thành Viên Cấp Thoát Nước Trà Vinh</t>
  </si>
  <si>
    <t>Đá 0 x 4</t>
  </si>
  <si>
    <t>Cty TNHH Xây Dựng Thương Mại Hồng Rõ</t>
  </si>
  <si>
    <t>C06</t>
  </si>
  <si>
    <t>C07</t>
  </si>
  <si>
    <t>Lãi vay KU 1402LDS201402000</t>
  </si>
  <si>
    <t>Lãi vay KU 1402LDS201402374</t>
  </si>
  <si>
    <t>C15</t>
  </si>
  <si>
    <t>Khách Hàng</t>
  </si>
  <si>
    <t>Đối tượng:</t>
  </si>
  <si>
    <t>Mẫu số S31-DN</t>
  </si>
  <si>
    <t>(Ban hành theo Thông tư số 200/2014/TT-BTC Ngày 22/12/2014 của Bộ Tài chính)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</si>
  <si>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</si>
  <si>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</si>
  <si>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</si>
  <si>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</si>
  <si>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</si>
  <si>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</si>
  <si>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</si>
  <si>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</si>
  <si>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</si>
  <si>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</si>
  <si>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</si>
  <si>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</si>
  <si>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</si>
  <si>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</si>
  <si>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</si>
  <si>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</si>
  <si>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</si>
  <si>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</si>
  <si>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</si>
  <si>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</si>
  <si>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</si>
  <si>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</si>
  <si>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</si>
  <si>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</si>
  <si>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</si>
  <si>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</si>
  <si>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</si>
  <si>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</si>
  <si>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</si>
  <si>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</si>
  <si>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</si>
  <si>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</si>
  <si>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</si>
  <si>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</si>
  <si>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</si>
  <si>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</si>
  <si>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</si>
  <si>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</si>
  <si>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</si>
  <si>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</si>
  <si>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</si>
  <si>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</si>
  <si>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</si>
  <si>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</si>
  <si>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</si>
  <si>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</si>
  <si>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</si>
  <si>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</si>
  <si>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</si>
  <si>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</si>
  <si>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</si>
  <si>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</si>
  <si>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</si>
  <si>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</si>
  <si>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</si>
  <si>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</si>
  <si>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</si>
  <si>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</si>
  <si>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</si>
  <si>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</si>
  <si>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</si>
  <si>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</si>
  <si>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</si>
  <si>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</si>
  <si>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</si>
  <si>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</si>
  <si>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</si>
  <si>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</si>
  <si>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</si>
  <si>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</si>
  <si>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</si>
  <si>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</si>
  <si>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</si>
  <si>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</si>
  <si>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</si>
  <si>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Cty TNHH Hải Sản An Lạc - Long An</t>
  </si>
  <si>
    <t>Phạm Thị Đông</t>
  </si>
  <si>
    <t>KU 1402LDS201401630</t>
  </si>
  <si>
    <t>KU 1402LDS201402000</t>
  </si>
  <si>
    <t>KU 1402LDS201402740</t>
  </si>
  <si>
    <t>KU 1402LDS201402374</t>
  </si>
  <si>
    <t>KU 1402LDS201403045</t>
  </si>
  <si>
    <t>TỔNG HỢP TÀI KHOẢN 331</t>
  </si>
  <si>
    <t>Số</t>
  </si>
  <si>
    <t>Phiếu</t>
  </si>
  <si>
    <t>Quyển số: 01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</si>
  <si>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</si>
  <si>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</si>
  <si>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</si>
  <si>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</si>
  <si>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</si>
  <si>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</si>
  <si>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</si>
  <si>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</si>
  <si>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</si>
  <si>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</si>
  <si>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</si>
  <si>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</si>
  <si>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</si>
  <si>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</si>
  <si>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</si>
  <si>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0000105</t>
  </si>
  <si>
    <t>Nộp tiền mặt vào tài khoản ngân hàng</t>
  </si>
  <si>
    <t>Hoàn trả tiền mượn chuyển khoản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</si>
  <si>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</si>
  <si>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</si>
  <si>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</si>
  <si>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</si>
  <si>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</si>
  <si>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</si>
  <si>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</si>
  <si>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</si>
  <si>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</si>
  <si>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</si>
  <si>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</si>
  <si>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</si>
  <si>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</si>
  <si>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</si>
  <si>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</si>
  <si>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</si>
  <si>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</si>
  <si>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</si>
  <si>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</si>
  <si>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</si>
  <si>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</si>
  <si>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</si>
  <si>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</si>
  <si>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</si>
  <si>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Mẫu số: S06a – DNN</t>
  </si>
  <si>
    <t>(Ban hành theo QĐ số: 48/2006/QĐ- BTC</t>
  </si>
  <si>
    <t>Ngày 14/9/2006 của Bộ trưởng BTC)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</si>
  <si>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</si>
  <si>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</si>
  <si>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</si>
  <si>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</si>
  <si>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</si>
  <si>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</si>
  <si>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</si>
  <si>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</si>
  <si>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 xml:space="preserve"> - Sổ này có 01 Trang, đánh số từ 01 đến số trang 01.</t>
  </si>
  <si>
    <t>Số hiệu tài khoản tại nơi gửi: 1402 148 5100 7445    VNĐ</t>
  </si>
  <si>
    <t>Quý IV</t>
  </si>
  <si>
    <t>Mẫu số S26-DNN</t>
  </si>
  <si>
    <t xml:space="preserve">(Ban hành theo QĐ số 48/2006/QĐ-BTC
</t>
  </si>
  <si>
    <t>Ngày 14/09/2006 của Bộ trưởng BTC)</t>
  </si>
  <si>
    <t>SỔ THEO DÕI THUẾ GIÁ TRỊ GIA TĂNG</t>
  </si>
  <si>
    <t>Số tiền thuế GTGT đã nộp</t>
  </si>
  <si>
    <t>Số tiền thuế GTGT phải nộp</t>
  </si>
  <si>
    <t>1</t>
  </si>
  <si>
    <t>2</t>
  </si>
  <si>
    <t>Số dư đầu kỳ</t>
  </si>
  <si>
    <t>Số phát sinh trong kỳ</t>
  </si>
  <si>
    <t>Cộng số phát sinh</t>
  </si>
  <si>
    <t>Số dư cuối kỳ</t>
  </si>
  <si>
    <t>- Sổ này có…01…trang, đánh số từ trang 01 đến trang 01</t>
  </si>
  <si>
    <t>KHẾ ƯỚC VAY</t>
  </si>
  <si>
    <t>Ngày vay</t>
  </si>
  <si>
    <t>Mẫu số S15-DNN</t>
  </si>
  <si>
    <t>Địa chỉ: 20 Lô E KCN Long Đức Tp.Trà Vinh Tỉnh Trà Vinh</t>
  </si>
  <si>
    <t>(Ban hành theo QĐ số 48/2006/QĐ-BTC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</si>
  <si>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</si>
  <si>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</si>
  <si>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</si>
  <si>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</si>
  <si>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</si>
  <si>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Ngày tháng 
ghi sổ</t>
  </si>
  <si>
    <t>Ngày đến hạn thanh toán</t>
  </si>
  <si>
    <t>- Sổ này có 1 trang, đánh số từ trang 1 đến trang 1.</t>
  </si>
  <si>
    <t>(Tỷ lệ lãi vay: 9.5%)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</si>
  <si>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</si>
  <si>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</si>
  <si>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</si>
  <si>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</si>
  <si>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</si>
  <si>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</si>
  <si>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</si>
  <si>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</si>
  <si>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…01…..trang, đánh số từ trang 01 đến trang …01…..</t>
  </si>
  <si>
    <t>Mẫu số S01-DN</t>
  </si>
  <si>
    <t>(Ban hành theo QĐ số 48/2006/QĐ-BTC Ngày 14/09/2006 của Bộ trưởng BTC)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</si>
  <si>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</si>
  <si>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</si>
  <si>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</si>
  <si>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</si>
  <si>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</si>
  <si>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</si>
  <si>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</si>
  <si>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</si>
  <si>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</si>
  <si>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</si>
  <si>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</si>
  <si>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</si>
  <si>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</si>
  <si>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</si>
  <si>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</si>
  <si>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</si>
  <si>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</si>
  <si>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</si>
  <si>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</si>
  <si>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</si>
  <si>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</si>
  <si>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</si>
  <si>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</si>
  <si>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</si>
  <si>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</si>
  <si>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</si>
  <si>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Sổ này có 09 trang, đánh số từ trang 01 đến trang 09</t>
  </si>
  <si>
    <t>Sổ này có 15 trang, đánh số từ trang 01 đến trang 15</t>
  </si>
  <si>
    <t>NK</t>
  </si>
  <si>
    <t>241</t>
  </si>
  <si>
    <t>Quý</t>
  </si>
  <si>
    <t>Lê Thị Hoa</t>
  </si>
  <si>
    <t>Thanh toán tiền xây dựng - Khánh Trân</t>
  </si>
  <si>
    <t>Phí kiểm đếm</t>
  </si>
  <si>
    <t>VAT Phí kiểm đếm</t>
  </si>
  <si>
    <t>Thanh toán CSHT - KCN Long Đức</t>
  </si>
  <si>
    <t>Phí duy trì DV SMS - 0913906967</t>
  </si>
  <si>
    <t>Tạm ứng tiền XD CSHT - Công  Nghệ Môi Trường CMD</t>
  </si>
  <si>
    <t>Tiền sử dụng CSHT - KCN Long Đức 15/9/13-15/9/14</t>
  </si>
  <si>
    <t>0042089</t>
  </si>
  <si>
    <t>VAT CSHT - KCN Long Đức</t>
  </si>
  <si>
    <t>Thuế môn bài 2014</t>
  </si>
  <si>
    <t>Ứng tiền cọc betong IBS</t>
  </si>
  <si>
    <t>Ứng tiền cọc betong Tân Tài</t>
  </si>
  <si>
    <t>Tạ Thị Đông Dân</t>
  </si>
  <si>
    <t>Ứng tiển thiết kế - Kiến Trúc XD Bách Việt</t>
  </si>
  <si>
    <t>Lập báo cáo dự án - Trà Vinh</t>
  </si>
  <si>
    <t>VAT Lập báo cáo dự án - Trà Vinh</t>
  </si>
  <si>
    <t>Tạm ứng tiền theo dõi môi trường công trình xây dựng</t>
  </si>
  <si>
    <t>Thuê quyền SDĐ - KCN Long Đức 08/03/14-08/03/15</t>
  </si>
  <si>
    <t>0056855</t>
  </si>
  <si>
    <t>Vay KU 1402LDS201401630</t>
  </si>
  <si>
    <t>Thanh toán hợp đồng giao khoán số 13/HDGK/2014</t>
  </si>
  <si>
    <t>Hợp đồng giao khoán số 13/HDGK/2014</t>
  </si>
  <si>
    <t>0000001</t>
  </si>
  <si>
    <t>VAT Hợp đồng giao khoán số 13/HDGK/2014</t>
  </si>
  <si>
    <t>Cọc bê tông</t>
  </si>
  <si>
    <t>0000559</t>
  </si>
  <si>
    <t>VAT Cọc bê tông</t>
  </si>
  <si>
    <t>Vay KU 1402LDS201402000</t>
  </si>
  <si>
    <t xml:space="preserve">Phí điểu chỉnh lệnh chuyển tiền </t>
  </si>
  <si>
    <t>VAT Phí điểu chỉnh lệnh chuyển tiền</t>
  </si>
  <si>
    <t>Thanh toán tiền dự án cấp thoát nước</t>
  </si>
  <si>
    <t>Thanh toán CSHT - KCN Long Đức 15/09/14 - 15/09/15</t>
  </si>
  <si>
    <t>0000881</t>
  </si>
  <si>
    <t>VAT Đá 0 x 4</t>
  </si>
  <si>
    <t>Cọc bêtong</t>
  </si>
  <si>
    <t>0000316</t>
  </si>
  <si>
    <t>VAT Cọc bêtong</t>
  </si>
  <si>
    <t>Phí hạ tầng - KCN Long Đức 15/09/14 - 15/09/15</t>
  </si>
  <si>
    <t>0066256</t>
  </si>
  <si>
    <t>Vay KU 1402LDS201402374</t>
  </si>
  <si>
    <t>Thanh toán tiền đá - Hồng Rõ</t>
  </si>
  <si>
    <t>Tiền mạng lưới cấp thoát nước</t>
  </si>
  <si>
    <t>0008366</t>
  </si>
  <si>
    <t>VAT Tiền mạng lưới cấp thoát nước</t>
  </si>
  <si>
    <t>Đăng kí chữ ký số</t>
  </si>
  <si>
    <t>0007164</t>
  </si>
  <si>
    <t>Cty TNHH Kê Khai Qua Mạng Việt Nam</t>
  </si>
  <si>
    <t>VAT Đăng kí chữ ký số</t>
  </si>
  <si>
    <t xml:space="preserve">Lãi vay KU 1402LDS201401630 </t>
  </si>
  <si>
    <t>Vay KU 1402LDS201402740</t>
  </si>
  <si>
    <t>Vay KU 1402LDS201403045</t>
  </si>
  <si>
    <t>Quý III</t>
  </si>
  <si>
    <t>Quý I / 2014</t>
  </si>
  <si>
    <t>Ngày mở sổ:  01/01/2014</t>
  </si>
  <si>
    <t>Quý II / 2014</t>
  </si>
  <si>
    <t>Ngày mở sổ:  01/04/2014</t>
  </si>
  <si>
    <t>Quý III / 2014</t>
  </si>
  <si>
    <t>Ngày mở sổ:  01/07/2014</t>
  </si>
  <si>
    <t>Quý IV / 2014</t>
  </si>
  <si>
    <t>- Ngày mở sổ: 02/01/2014</t>
  </si>
  <si>
    <t>Ngày  31  tháng  12   năm   2014</t>
  </si>
  <si>
    <t>Ngày 31 tháng  12  năm  2014</t>
  </si>
  <si>
    <t>TỔNG HỢP TÀI KHOẢN 341 - 2014</t>
  </si>
</sst>
</file>

<file path=xl/styles.xml><?xml version="1.0" encoding="utf-8"?>
<styleSheet xmlns="http://schemas.openxmlformats.org/spreadsheetml/2006/main">
  <numFmts count="12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-* #,##0.00\ _₫_-;\-* #,##0.00\ _₫_-;_-* &quot;-&quot;??\ _₫_-;_-@_-"/>
    <numFmt numFmtId="174" formatCode="_-* #,##0\ _₫_-;\-* #,##0\ _₫_-;_-* &quot;-&quot;??\ _₫_-;_-@_-"/>
  </numFmts>
  <fonts count="7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i/>
      <sz val="10"/>
      <color indexed="12"/>
      <name val="Times New Roman"/>
      <family val="1"/>
    </font>
    <font>
      <b/>
      <sz val="15"/>
      <name val="Times New Roman"/>
      <family val="1"/>
    </font>
    <font>
      <sz val="10"/>
      <color rgb="FFFF00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6" fillId="0" borderId="0">
      <alignment horizontal="center"/>
    </xf>
    <xf numFmtId="0" fontId="52" fillId="0" borderId="0"/>
    <xf numFmtId="0" fontId="3" fillId="0" borderId="0"/>
    <xf numFmtId="0" fontId="58" fillId="0" borderId="0" applyNumberFormat="0" applyFill="0" applyBorder="0" applyAlignment="0" applyProtection="0">
      <alignment vertical="top"/>
      <protection locked="0"/>
    </xf>
    <xf numFmtId="43" fontId="63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63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570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2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2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23" fillId="0" borderId="0" xfId="73" applyFont="1"/>
    <xf numFmtId="164" fontId="26" fillId="0" borderId="0" xfId="74" applyNumberFormat="1" applyFont="1"/>
    <xf numFmtId="0" fontId="26" fillId="0" borderId="0" xfId="73"/>
    <xf numFmtId="0" fontId="28" fillId="0" borderId="0" xfId="58">
      <alignment horizontal="centerContinuous"/>
    </xf>
    <xf numFmtId="164" fontId="28" fillId="0" borderId="0" xfId="74" applyNumberFormat="1" applyFont="1" applyAlignment="1">
      <alignment horizontal="centerContinuous"/>
    </xf>
    <xf numFmtId="0" fontId="28" fillId="0" borderId="0" xfId="58" applyFont="1">
      <alignment horizontal="centerContinuous"/>
    </xf>
    <xf numFmtId="0" fontId="23" fillId="21" borderId="17" xfId="75" applyBorder="1">
      <alignment horizontal="centerContinuous" vertical="center" wrapText="1"/>
    </xf>
    <xf numFmtId="164" fontId="23" fillId="21" borderId="2" xfId="74" applyNumberFormat="1" applyFont="1" applyFill="1" applyBorder="1" applyAlignment="1">
      <alignment horizontal="centerContinuous" vertical="center" wrapText="1"/>
    </xf>
    <xf numFmtId="0" fontId="23" fillId="21" borderId="2" xfId="75">
      <alignment horizontal="centerContinuous" vertical="center" wrapText="1"/>
    </xf>
    <xf numFmtId="0" fontId="23" fillId="21" borderId="18" xfId="75" applyBorder="1">
      <alignment horizontal="centerContinuous" vertical="center" wrapText="1"/>
    </xf>
    <xf numFmtId="164" fontId="42" fillId="0" borderId="24" xfId="74" quotePrefix="1" applyNumberFormat="1" applyFont="1" applyBorder="1" applyAlignment="1">
      <alignment horizontal="center"/>
    </xf>
    <xf numFmtId="164" fontId="43" fillId="0" borderId="24" xfId="74" applyNumberFormat="1" applyFont="1" applyBorder="1" applyAlignment="1">
      <alignment horizontal="center"/>
    </xf>
    <xf numFmtId="164" fontId="42" fillId="0" borderId="24" xfId="74" applyNumberFormat="1" applyFont="1" applyBorder="1"/>
    <xf numFmtId="164" fontId="42" fillId="0" borderId="26" xfId="74" applyNumberFormat="1" applyFont="1" applyBorder="1"/>
    <xf numFmtId="164" fontId="26" fillId="0" borderId="0" xfId="74" applyNumberFormat="1" applyFont="1" applyFill="1"/>
    <xf numFmtId="164" fontId="23" fillId="0" borderId="10" xfId="74" applyNumberFormat="1" applyFont="1" applyBorder="1" applyAlignment="1">
      <alignment horizontal="left"/>
    </xf>
    <xf numFmtId="164" fontId="41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42" fillId="0" borderId="24" xfId="74" applyNumberFormat="1" applyFont="1" applyBorder="1" applyAlignment="1">
      <alignment horizontal="center"/>
    </xf>
    <xf numFmtId="164" fontId="23" fillId="0" borderId="10" xfId="74" quotePrefix="1" applyNumberFormat="1" applyFont="1" applyBorder="1" applyAlignment="1">
      <alignment horizontal="left"/>
    </xf>
    <xf numFmtId="164" fontId="26" fillId="0" borderId="27" xfId="74" applyNumberFormat="1" applyFont="1" applyBorder="1"/>
    <xf numFmtId="164" fontId="26" fillId="0" borderId="27" xfId="74" quotePrefix="1" applyNumberFormat="1" applyFont="1" applyBorder="1" applyAlignment="1">
      <alignment horizontal="right"/>
    </xf>
    <xf numFmtId="164" fontId="35" fillId="0" borderId="27" xfId="74" applyNumberFormat="1" applyFont="1" applyBorder="1" applyAlignment="1">
      <alignment horizontal="right"/>
    </xf>
    <xf numFmtId="164" fontId="23" fillId="0" borderId="2" xfId="74" applyNumberFormat="1" applyFont="1" applyBorder="1"/>
    <xf numFmtId="3" fontId="26" fillId="0" borderId="0" xfId="73" applyNumberFormat="1"/>
    <xf numFmtId="164" fontId="26" fillId="0" borderId="0" xfId="73" applyNumberFormat="1"/>
    <xf numFmtId="0" fontId="26" fillId="0" borderId="0" xfId="73" applyBorder="1"/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1" fontId="34" fillId="0" borderId="16" xfId="76" quotePrefix="1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0" xfId="76" applyFont="1" applyFill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2" xfId="55" applyNumberFormat="1" applyFont="1" applyBorder="1" applyAlignment="1">
      <alignment horizontal="left" vertical="center" wrapText="1"/>
    </xf>
    <xf numFmtId="0" fontId="34" fillId="0" borderId="22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47" fillId="0" borderId="16" xfId="77" applyNumberFormat="1" applyFont="1" applyFill="1" applyBorder="1" applyAlignment="1">
      <alignment horizontal="center" vertical="center"/>
    </xf>
    <xf numFmtId="14" fontId="47" fillId="0" borderId="16" xfId="76" applyNumberFormat="1" applyFont="1" applyFill="1" applyBorder="1" applyAlignment="1">
      <alignment horizontal="center" vertical="center"/>
    </xf>
    <xf numFmtId="164" fontId="47" fillId="0" borderId="16" xfId="76" applyNumberFormat="1" applyFont="1" applyFill="1" applyBorder="1" applyAlignment="1">
      <alignment horizontal="left" vertical="center"/>
    </xf>
    <xf numFmtId="49" fontId="47" fillId="0" borderId="16" xfId="76" applyNumberFormat="1" applyFont="1" applyFill="1" applyBorder="1" applyAlignment="1">
      <alignment horizontal="left" vertical="center"/>
    </xf>
    <xf numFmtId="164" fontId="47" fillId="0" borderId="16" xfId="77" applyNumberFormat="1" applyFont="1" applyFill="1" applyBorder="1" applyAlignment="1">
      <alignment vertical="center"/>
    </xf>
    <xf numFmtId="0" fontId="47" fillId="0" borderId="16" xfId="76" quotePrefix="1" applyNumberFormat="1" applyFont="1" applyFill="1" applyBorder="1" applyAlignment="1">
      <alignment horizontal="center" vertical="center"/>
    </xf>
    <xf numFmtId="0" fontId="48" fillId="0" borderId="0" xfId="0" applyFont="1" applyAlignment="1"/>
    <xf numFmtId="0" fontId="49" fillId="0" borderId="16" xfId="76" quotePrefix="1" applyNumberFormat="1" applyFont="1" applyFill="1" applyBorder="1" applyAlignment="1">
      <alignment horizontal="center" vertical="center"/>
    </xf>
    <xf numFmtId="164" fontId="23" fillId="0" borderId="27" xfId="74" applyNumberFormat="1" applyFont="1" applyBorder="1"/>
    <xf numFmtId="164" fontId="23" fillId="0" borderId="28" xfId="74" applyNumberFormat="1" applyFont="1" applyBorder="1"/>
    <xf numFmtId="1" fontId="47" fillId="0" borderId="16" xfId="76" quotePrefix="1" applyNumberFormat="1" applyFont="1" applyFill="1" applyBorder="1" applyAlignment="1">
      <alignment horizontal="center" vertical="center"/>
    </xf>
    <xf numFmtId="49" fontId="47" fillId="0" borderId="16" xfId="76" quotePrefix="1" applyNumberFormat="1" applyFont="1" applyFill="1" applyBorder="1" applyAlignment="1">
      <alignment horizontal="left" vertical="center"/>
    </xf>
    <xf numFmtId="164" fontId="34" fillId="0" borderId="22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164" fontId="34" fillId="0" borderId="22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7" fillId="0" borderId="0" xfId="77" applyNumberFormat="1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center" vertical="center"/>
      <protection hidden="1"/>
    </xf>
    <xf numFmtId="10" fontId="59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60" fillId="0" borderId="0" xfId="77" applyFont="1" applyFill="1" applyBorder="1" applyAlignment="1" applyProtection="1">
      <alignment horizontal="left" vertical="center"/>
      <protection hidden="1"/>
    </xf>
    <xf numFmtId="0" fontId="60" fillId="0" borderId="0" xfId="77" applyFont="1" applyFill="1" applyBorder="1" applyAlignment="1" applyProtection="1">
      <alignment horizontal="justify" vertical="center"/>
      <protection hidden="1"/>
    </xf>
    <xf numFmtId="0" fontId="60" fillId="0" borderId="0" xfId="77" applyFont="1" applyFill="1" applyBorder="1" applyAlignment="1" applyProtection="1">
      <alignment vertical="center"/>
      <protection hidden="1"/>
    </xf>
    <xf numFmtId="171" fontId="61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60" fillId="0" borderId="0" xfId="74" applyNumberFormat="1" applyFont="1" applyFill="1" applyBorder="1" applyAlignment="1" applyProtection="1">
      <alignment vertical="center"/>
      <protection hidden="1"/>
    </xf>
    <xf numFmtId="10" fontId="60" fillId="0" borderId="0" xfId="79" applyNumberFormat="1" applyFont="1" applyFill="1" applyBorder="1" applyAlignment="1" applyProtection="1">
      <alignment vertical="center"/>
      <protection hidden="1"/>
    </xf>
    <xf numFmtId="49" fontId="62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2" fillId="0" borderId="0" xfId="77" applyNumberFormat="1" applyFont="1" applyFill="1" applyBorder="1" applyAlignment="1" applyProtection="1">
      <alignment vertical="center"/>
      <protection hidden="1"/>
    </xf>
    <xf numFmtId="0" fontId="62" fillId="0" borderId="0" xfId="77" applyFont="1" applyFill="1" applyBorder="1" applyAlignment="1" applyProtection="1">
      <alignment horizontal="left" vertical="center"/>
      <protection hidden="1"/>
    </xf>
    <xf numFmtId="0" fontId="62" fillId="0" borderId="0" xfId="77" applyNumberFormat="1" applyFont="1" applyFill="1" applyBorder="1" applyAlignment="1" applyProtection="1">
      <alignment horizontal="left" vertical="center"/>
      <protection hidden="1"/>
    </xf>
    <xf numFmtId="10" fontId="60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7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6" fillId="26" borderId="2" xfId="77" applyFont="1" applyFill="1" applyBorder="1" applyAlignment="1" applyProtection="1">
      <alignment vertical="center"/>
      <protection locked="0" hidden="1"/>
    </xf>
    <xf numFmtId="0" fontId="36" fillId="27" borderId="2" xfId="77" applyFont="1" applyFill="1" applyBorder="1" applyAlignment="1" applyProtection="1">
      <alignment vertical="center"/>
      <protection locked="0" hidden="1"/>
    </xf>
    <xf numFmtId="0" fontId="41" fillId="0" borderId="0" xfId="77" applyFont="1" applyFill="1" applyBorder="1" applyAlignment="1" applyProtection="1">
      <alignment vertical="center"/>
      <protection locked="0" hidden="1"/>
    </xf>
    <xf numFmtId="0" fontId="36" fillId="28" borderId="2" xfId="77" applyNumberFormat="1" applyFont="1" applyFill="1" applyBorder="1" applyAlignment="1" applyProtection="1">
      <alignment vertical="center"/>
      <protection locked="0" hidden="1"/>
    </xf>
    <xf numFmtId="164" fontId="34" fillId="0" borderId="22" xfId="76" applyNumberFormat="1" applyFont="1" applyFill="1" applyBorder="1" applyAlignment="1">
      <alignment horizontal="left" vertical="center"/>
    </xf>
    <xf numFmtId="0" fontId="34" fillId="0" borderId="16" xfId="55" applyNumberFormat="1" applyFont="1" applyBorder="1" applyAlignment="1">
      <alignment horizontal="left" vertical="center" wrapText="1"/>
    </xf>
    <xf numFmtId="0" fontId="34" fillId="0" borderId="0" xfId="0" applyFont="1" applyAlignment="1">
      <alignment horizontal="center"/>
    </xf>
    <xf numFmtId="0" fontId="34" fillId="0" borderId="2" xfId="0" applyFont="1" applyBorder="1" applyAlignment="1">
      <alignment horizontal="center"/>
    </xf>
    <xf numFmtId="0" fontId="34" fillId="0" borderId="16" xfId="0" applyFont="1" applyBorder="1" applyAlignment="1">
      <alignment horizontal="center"/>
    </xf>
    <xf numFmtId="172" fontId="61" fillId="0" borderId="0" xfId="77" applyNumberFormat="1" applyFont="1" applyFill="1" applyBorder="1" applyAlignment="1" applyProtection="1">
      <alignment horizontal="center" vertical="center"/>
      <protection hidden="1"/>
    </xf>
    <xf numFmtId="0" fontId="34" fillId="0" borderId="16" xfId="55" applyNumberFormat="1" applyFont="1" applyBorder="1" applyAlignment="1">
      <alignment horizontal="center" vertical="center" wrapText="1"/>
    </xf>
    <xf numFmtId="0" fontId="39" fillId="21" borderId="25" xfId="34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2" xfId="77" applyNumberFormat="1" applyFont="1" applyBorder="1" applyAlignment="1">
      <alignment vertical="center" wrapText="1"/>
    </xf>
    <xf numFmtId="49" fontId="36" fillId="0" borderId="22" xfId="77" applyNumberFormat="1" applyFont="1" applyBorder="1" applyAlignment="1">
      <alignment vertical="center" wrapText="1"/>
    </xf>
    <xf numFmtId="164" fontId="36" fillId="0" borderId="22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4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57" fillId="0" borderId="0" xfId="54" applyFont="1" applyAlignment="1">
      <alignment horizontal="center"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2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5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5" fillId="29" borderId="0" xfId="87" applyFont="1" applyFill="1" applyAlignment="1">
      <alignment horizontal="center" vertical="center"/>
    </xf>
    <xf numFmtId="0" fontId="65" fillId="29" borderId="0" xfId="87" applyFont="1" applyFill="1" applyAlignment="1">
      <alignment horizontal="left" vertical="center" wrapText="1"/>
    </xf>
    <xf numFmtId="0" fontId="66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68" fillId="29" borderId="37" xfId="87" applyFont="1" applyFill="1" applyBorder="1" applyAlignment="1">
      <alignment horizontal="center" vertical="center" wrapText="1"/>
    </xf>
    <xf numFmtId="0" fontId="34" fillId="0" borderId="0" xfId="87" applyFont="1" applyFill="1" applyAlignment="1">
      <alignment vertical="center"/>
    </xf>
    <xf numFmtId="0" fontId="34" fillId="0" borderId="36" xfId="87" applyFont="1" applyFill="1" applyBorder="1" applyAlignment="1">
      <alignment horizontal="center" vertical="center" wrapText="1"/>
    </xf>
    <xf numFmtId="14" fontId="34" fillId="0" borderId="37" xfId="87" applyNumberFormat="1" applyFont="1" applyFill="1" applyBorder="1" applyAlignment="1">
      <alignment horizontal="center" vertical="center" wrapText="1"/>
    </xf>
    <xf numFmtId="0" fontId="68" fillId="29" borderId="39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14" fontId="69" fillId="29" borderId="2" xfId="87" applyNumberFormat="1" applyFont="1" applyFill="1" applyBorder="1" applyAlignment="1">
      <alignment horizontal="center" vertical="center" wrapText="1"/>
    </xf>
    <xf numFmtId="0" fontId="69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70" fillId="29" borderId="2" xfId="87" applyNumberFormat="1" applyFont="1" applyFill="1" applyBorder="1" applyAlignment="1">
      <alignment vertical="center" wrapText="1"/>
    </xf>
    <xf numFmtId="0" fontId="70" fillId="29" borderId="2" xfId="87" applyFont="1" applyFill="1" applyBorder="1" applyAlignment="1">
      <alignment horizontal="center" vertical="center" wrapText="1"/>
    </xf>
    <xf numFmtId="0" fontId="70" fillId="29" borderId="2" xfId="87" applyFont="1" applyFill="1" applyBorder="1" applyAlignment="1">
      <alignment vertical="center" wrapText="1"/>
    </xf>
    <xf numFmtId="164" fontId="70" fillId="29" borderId="2" xfId="74" applyNumberFormat="1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64" fontId="34" fillId="0" borderId="16" xfId="74" applyNumberFormat="1" applyFont="1" applyFill="1" applyBorder="1" applyAlignment="1">
      <alignment horizontal="right" vertical="center" wrapText="1"/>
    </xf>
    <xf numFmtId="164" fontId="34" fillId="0" borderId="16" xfId="87" applyNumberFormat="1" applyFont="1" applyFill="1" applyBorder="1" applyAlignment="1">
      <alignment vertical="center" wrapText="1"/>
    </xf>
    <xf numFmtId="14" fontId="68" fillId="29" borderId="2" xfId="87" applyNumberFormat="1" applyFont="1" applyFill="1" applyBorder="1" applyAlignment="1">
      <alignment vertical="center" wrapText="1"/>
    </xf>
    <xf numFmtId="0" fontId="68" fillId="29" borderId="2" xfId="87" applyFont="1" applyFill="1" applyBorder="1" applyAlignment="1">
      <alignment horizontal="center" vertical="center" wrapText="1"/>
    </xf>
    <xf numFmtId="0" fontId="68" fillId="29" borderId="2" xfId="87" applyFont="1" applyFill="1" applyBorder="1" applyAlignment="1">
      <alignment vertical="center" wrapText="1"/>
    </xf>
    <xf numFmtId="164" fontId="70" fillId="29" borderId="2" xfId="87" applyNumberFormat="1" applyFont="1" applyFill="1" applyBorder="1" applyAlignment="1">
      <alignment vertical="center" wrapText="1"/>
    </xf>
    <xf numFmtId="0" fontId="68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70" fillId="29" borderId="0" xfId="87" applyFont="1" applyFill="1" applyAlignment="1">
      <alignment vertical="center" wrapText="1"/>
    </xf>
    <xf numFmtId="0" fontId="70" fillId="29" borderId="0" xfId="87" applyFont="1" applyFill="1" applyAlignment="1">
      <alignment horizontal="center" vertical="center" wrapText="1"/>
    </xf>
    <xf numFmtId="0" fontId="71" fillId="29" borderId="0" xfId="87" applyFont="1" applyFill="1" applyAlignment="1">
      <alignment horizontal="center" vertical="center" wrapText="1"/>
    </xf>
    <xf numFmtId="0" fontId="70" fillId="29" borderId="0" xfId="87" applyFont="1" applyFill="1" applyAlignment="1">
      <alignment horizontal="center" vertical="center"/>
    </xf>
    <xf numFmtId="164" fontId="70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8" fillId="29" borderId="0" xfId="87" applyFont="1" applyFill="1" applyAlignment="1">
      <alignment horizontal="center" vertical="center" wrapText="1"/>
    </xf>
    <xf numFmtId="0" fontId="68" fillId="29" borderId="0" xfId="87" applyFont="1" applyFill="1" applyAlignment="1">
      <alignment horizontal="center" vertical="center"/>
    </xf>
    <xf numFmtId="164" fontId="68" fillId="29" borderId="0" xfId="74" applyNumberFormat="1" applyFont="1" applyFill="1" applyAlignment="1">
      <alignment horizontal="center" vertical="center"/>
    </xf>
    <xf numFmtId="0" fontId="68" fillId="29" borderId="0" xfId="87" applyFont="1" applyFill="1" applyAlignment="1">
      <alignment vertical="center" wrapText="1"/>
    </xf>
    <xf numFmtId="0" fontId="72" fillId="0" borderId="0" xfId="87" applyFont="1" applyAlignment="1">
      <alignment vertical="center"/>
    </xf>
    <xf numFmtId="14" fontId="72" fillId="0" borderId="0" xfId="87" applyNumberFormat="1" applyFont="1" applyAlignment="1">
      <alignment vertical="center"/>
    </xf>
    <xf numFmtId="0" fontId="72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164" fontId="73" fillId="25" borderId="32" xfId="77" applyNumberFormat="1" applyFont="1" applyFill="1" applyBorder="1" applyAlignment="1">
      <alignment vertical="center"/>
    </xf>
    <xf numFmtId="164" fontId="73" fillId="0" borderId="40" xfId="77" applyNumberFormat="1" applyFont="1" applyBorder="1" applyAlignment="1" applyProtection="1">
      <alignment vertical="center"/>
      <protection hidden="1"/>
    </xf>
    <xf numFmtId="164" fontId="73" fillId="0" borderId="41" xfId="77" applyNumberFormat="1" applyFont="1" applyBorder="1" applyAlignment="1" applyProtection="1">
      <alignment vertical="center"/>
      <protection hidden="1"/>
    </xf>
    <xf numFmtId="14" fontId="34" fillId="0" borderId="16" xfId="87" applyNumberFormat="1" applyFont="1" applyFill="1" applyBorder="1" applyAlignment="1">
      <alignment horizontal="left" vertical="center" wrapText="1"/>
    </xf>
    <xf numFmtId="0" fontId="33" fillId="0" borderId="0" xfId="52" applyFont="1"/>
    <xf numFmtId="0" fontId="33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0" fontId="36" fillId="0" borderId="2" xfId="52" applyFont="1" applyBorder="1" applyAlignment="1">
      <alignment horizontal="left" vertical="center"/>
    </xf>
    <xf numFmtId="0" fontId="36" fillId="0" borderId="2" xfId="52" applyFont="1" applyBorder="1" applyAlignment="1">
      <alignment horizontal="center" vertical="center"/>
    </xf>
    <xf numFmtId="0" fontId="74" fillId="0" borderId="2" xfId="52" applyFont="1" applyBorder="1" applyAlignment="1">
      <alignment horizontal="left" vertical="center"/>
    </xf>
    <xf numFmtId="0" fontId="74" fillId="0" borderId="2" xfId="52" applyFont="1" applyBorder="1" applyAlignment="1">
      <alignment horizontal="center" vertical="center"/>
    </xf>
    <xf numFmtId="0" fontId="74" fillId="0" borderId="2" xfId="52" quotePrefix="1" applyFont="1" applyBorder="1" applyAlignment="1">
      <alignment horizontal="center" vertical="center"/>
    </xf>
    <xf numFmtId="0" fontId="74" fillId="0" borderId="0" xfId="52" applyFont="1" applyAlignment="1">
      <alignment vertical="center"/>
    </xf>
    <xf numFmtId="0" fontId="74" fillId="0" borderId="12" xfId="52" applyFont="1" applyBorder="1" applyAlignment="1">
      <alignment horizontal="left" vertical="center"/>
    </xf>
    <xf numFmtId="14" fontId="74" fillId="0" borderId="12" xfId="52" applyNumberFormat="1" applyFont="1" applyBorder="1" applyAlignment="1">
      <alignment horizontal="center" vertical="center"/>
    </xf>
    <xf numFmtId="0" fontId="74" fillId="0" borderId="12" xfId="52" applyFont="1" applyBorder="1" applyAlignment="1">
      <alignment vertical="center"/>
    </xf>
    <xf numFmtId="164" fontId="74" fillId="0" borderId="12" xfId="88" applyNumberFormat="1" applyFont="1" applyBorder="1" applyAlignment="1">
      <alignment vertical="center"/>
    </xf>
    <xf numFmtId="0" fontId="74" fillId="0" borderId="22" xfId="52" applyFont="1" applyBorder="1" applyAlignment="1">
      <alignment horizontal="left" vertical="center"/>
    </xf>
    <xf numFmtId="14" fontId="74" fillId="0" borderId="22" xfId="52" applyNumberFormat="1" applyFont="1" applyBorder="1" applyAlignment="1">
      <alignment horizontal="center" vertical="center"/>
    </xf>
    <xf numFmtId="0" fontId="74" fillId="0" borderId="22" xfId="52" applyFont="1" applyBorder="1" applyAlignment="1">
      <alignment vertical="center"/>
    </xf>
    <xf numFmtId="164" fontId="74" fillId="0" borderId="22" xfId="88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64" fontId="33" fillId="0" borderId="16" xfId="88" applyNumberFormat="1" applyFont="1" applyBorder="1" applyAlignment="1">
      <alignment vertical="center"/>
    </xf>
    <xf numFmtId="0" fontId="74" fillId="0" borderId="16" xfId="52" applyFont="1" applyBorder="1" applyAlignment="1">
      <alignment horizontal="left" vertical="center"/>
    </xf>
    <xf numFmtId="0" fontId="74" fillId="0" borderId="16" xfId="52" applyFont="1" applyBorder="1" applyAlignment="1">
      <alignment horizontal="center" vertical="center"/>
    </xf>
    <xf numFmtId="0" fontId="74" fillId="0" borderId="2" xfId="52" applyFont="1" applyBorder="1" applyAlignment="1">
      <alignment vertical="center"/>
    </xf>
    <xf numFmtId="164" fontId="74" fillId="0" borderId="2" xfId="88" applyNumberFormat="1" applyFont="1" applyBorder="1" applyAlignment="1">
      <alignment vertical="center"/>
    </xf>
    <xf numFmtId="0" fontId="74" fillId="0" borderId="19" xfId="52" applyFont="1" applyBorder="1" applyAlignment="1">
      <alignment horizontal="left" vertical="center"/>
    </xf>
    <xf numFmtId="0" fontId="74" fillId="0" borderId="19" xfId="52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34" fillId="0" borderId="0" xfId="87" quotePrefix="1" applyFont="1" applyAlignment="1">
      <alignment horizontal="left" vertical="center"/>
    </xf>
    <xf numFmtId="0" fontId="34" fillId="0" borderId="0" xfId="87" applyFont="1" applyBorder="1" applyAlignment="1">
      <alignment vertical="center"/>
    </xf>
    <xf numFmtId="14" fontId="33" fillId="0" borderId="16" xfId="52" applyNumberFormat="1" applyFont="1" applyBorder="1" applyAlignment="1">
      <alignment horizontal="left" vertical="center"/>
    </xf>
    <xf numFmtId="0" fontId="33" fillId="0" borderId="16" xfId="52" applyFont="1" applyBorder="1" applyAlignment="1">
      <alignment horizontal="center" vertical="center"/>
    </xf>
    <xf numFmtId="164" fontId="33" fillId="0" borderId="16" xfId="29" applyNumberFormat="1" applyFont="1" applyBorder="1" applyAlignment="1">
      <alignment horizontal="left" vertical="center"/>
    </xf>
    <xf numFmtId="0" fontId="26" fillId="0" borderId="0" xfId="53" applyFont="1" applyAlignment="1">
      <alignment vertical="center"/>
    </xf>
    <xf numFmtId="0" fontId="39" fillId="21" borderId="2" xfId="34" applyFont="1" applyBorder="1" applyAlignment="1">
      <alignment horizontal="centerContinuous" vertical="center" wrapText="1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43" fontId="34" fillId="0" borderId="22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14" fontId="68" fillId="29" borderId="0" xfId="0" applyNumberFormat="1" applyFont="1" applyFill="1" applyAlignment="1">
      <alignment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68" fillId="29" borderId="0" xfId="0" applyFont="1" applyFill="1" applyAlignment="1">
      <alignment vertical="center"/>
    </xf>
    <xf numFmtId="0" fontId="39" fillId="0" borderId="0" xfId="52" applyFont="1" applyAlignment="1">
      <alignment vertical="center"/>
    </xf>
    <xf numFmtId="0" fontId="34" fillId="0" borderId="0" xfId="52" applyFont="1" applyBorder="1" applyAlignment="1">
      <alignment vertical="center"/>
    </xf>
    <xf numFmtId="14" fontId="34" fillId="0" borderId="0" xfId="52" applyNumberFormat="1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173" fontId="34" fillId="0" borderId="0" xfId="29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75" fillId="0" borderId="2" xfId="52" applyFont="1" applyBorder="1" applyAlignment="1">
      <alignment vertical="center"/>
    </xf>
    <xf numFmtId="0" fontId="75" fillId="0" borderId="20" xfId="52" applyFont="1" applyBorder="1" applyAlignment="1">
      <alignment vertical="center"/>
    </xf>
    <xf numFmtId="0" fontId="75" fillId="0" borderId="2" xfId="52" applyFont="1" applyBorder="1" applyAlignment="1">
      <alignment horizontal="center" vertical="center"/>
    </xf>
    <xf numFmtId="14" fontId="75" fillId="0" borderId="2" xfId="52" applyNumberFormat="1" applyFont="1" applyBorder="1" applyAlignment="1">
      <alignment horizontal="center" vertical="center"/>
    </xf>
    <xf numFmtId="0" fontId="75" fillId="0" borderId="0" xfId="52" applyFont="1" applyBorder="1" applyAlignment="1">
      <alignment horizontal="center" vertical="center"/>
    </xf>
    <xf numFmtId="0" fontId="75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quotePrefix="1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0" fontId="39" fillId="0" borderId="0" xfId="52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0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4" fontId="68" fillId="29" borderId="16" xfId="29" applyNumberFormat="1" applyFont="1" applyFill="1" applyBorder="1" applyAlignment="1">
      <alignment horizontal="center" vertical="center" wrapText="1"/>
    </xf>
    <xf numFmtId="173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0" fontId="34" fillId="0" borderId="21" xfId="52" applyFont="1" applyBorder="1" applyAlignment="1">
      <alignment vertical="center"/>
    </xf>
    <xf numFmtId="0" fontId="34" fillId="0" borderId="21" xfId="52" applyFont="1" applyBorder="1" applyAlignment="1">
      <alignment horizontal="center" vertical="center"/>
    </xf>
    <xf numFmtId="14" fontId="34" fillId="0" borderId="21" xfId="52" applyNumberFormat="1" applyFont="1" applyBorder="1" applyAlignment="1">
      <alignment horizontal="center" vertical="center"/>
    </xf>
    <xf numFmtId="164" fontId="34" fillId="0" borderId="0" xfId="52" applyNumberFormat="1" applyFont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14" fontId="39" fillId="0" borderId="2" xfId="52" applyNumberFormat="1" applyFont="1" applyBorder="1" applyAlignment="1">
      <alignment horizontal="center" vertical="center"/>
    </xf>
    <xf numFmtId="43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174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76" fillId="0" borderId="0" xfId="54" applyFont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4" fillId="0" borderId="16" xfId="0" applyFont="1" applyFill="1" applyBorder="1" applyAlignment="1">
      <alignment horizontal="left"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0" fontId="33" fillId="0" borderId="17" xfId="52" applyFont="1" applyBorder="1" applyAlignment="1">
      <alignment horizontal="center" vertical="center" wrapText="1" shrinkToFit="1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0" fontId="34" fillId="0" borderId="0" xfId="54" applyFont="1" applyFill="1" applyAlignment="1">
      <alignment horizontal="left" vertical="center"/>
    </xf>
    <xf numFmtId="49" fontId="34" fillId="0" borderId="0" xfId="90" applyNumberFormat="1" applyFont="1" applyFill="1" applyAlignment="1">
      <alignment horizontal="left" vertical="center"/>
    </xf>
    <xf numFmtId="0" fontId="39" fillId="0" borderId="0" xfId="54" applyFont="1" applyFill="1" applyAlignment="1">
      <alignment horizontal="center" vertical="center" wrapText="1"/>
    </xf>
    <xf numFmtId="0" fontId="39" fillId="0" borderId="0" xfId="54" applyFont="1" applyFill="1" applyAlignment="1">
      <alignment vertical="center" wrapText="1"/>
    </xf>
    <xf numFmtId="0" fontId="3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horizontal="center" vertical="center"/>
    </xf>
    <xf numFmtId="0" fontId="34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vertical="center" wrapText="1"/>
    </xf>
    <xf numFmtId="0" fontId="34" fillId="0" borderId="0" xfId="54" applyNumberFormat="1" applyFont="1" applyFill="1" applyAlignment="1">
      <alignment horizontal="center" vertical="center" wrapText="1"/>
    </xf>
    <xf numFmtId="0" fontId="44" fillId="0" borderId="0" xfId="54" applyFont="1" applyFill="1" applyAlignment="1">
      <alignment vertical="center"/>
    </xf>
    <xf numFmtId="0" fontId="44" fillId="0" borderId="0" xfId="54" applyFont="1" applyFill="1" applyAlignment="1">
      <alignment horizontal="center" vertical="center"/>
    </xf>
    <xf numFmtId="0" fontId="39" fillId="0" borderId="0" xfId="54" applyFont="1" applyFill="1" applyAlignment="1">
      <alignment horizontal="center" vertical="center"/>
    </xf>
    <xf numFmtId="0" fontId="33" fillId="0" borderId="0" xfId="54" applyFont="1" applyFill="1" applyAlignment="1">
      <alignment vertical="center"/>
    </xf>
    <xf numFmtId="0" fontId="33" fillId="0" borderId="0" xfId="54" applyFont="1" applyFill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45" fillId="0" borderId="2" xfId="54" applyFont="1" applyFill="1" applyBorder="1" applyAlignment="1">
      <alignment horizontal="center" vertical="center"/>
    </xf>
    <xf numFmtId="0" fontId="45" fillId="0" borderId="0" xfId="54" applyFont="1" applyFill="1" applyAlignment="1">
      <alignment horizontal="center" vertical="center"/>
    </xf>
    <xf numFmtId="14" fontId="34" fillId="0" borderId="22" xfId="54" applyNumberFormat="1" applyFont="1" applyFill="1" applyBorder="1" applyAlignment="1">
      <alignment horizontal="center" vertical="center"/>
    </xf>
    <xf numFmtId="164" fontId="34" fillId="0" borderId="42" xfId="54" applyNumberFormat="1" applyFont="1" applyFill="1" applyBorder="1" applyAlignment="1">
      <alignment horizontal="center" vertical="center"/>
    </xf>
    <xf numFmtId="164" fontId="39" fillId="0" borderId="22" xfId="54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4" fillId="0" borderId="12" xfId="54" applyNumberFormat="1" applyFont="1" applyFill="1" applyBorder="1" applyAlignment="1">
      <alignment horizontal="center" vertical="center"/>
    </xf>
    <xf numFmtId="164" fontId="34" fillId="0" borderId="22" xfId="54" applyNumberFormat="1" applyFont="1" applyFill="1" applyBorder="1" applyAlignment="1">
      <alignment horizontal="center" vertical="center"/>
    </xf>
    <xf numFmtId="164" fontId="34" fillId="0" borderId="22" xfId="74" applyNumberFormat="1" applyFont="1" applyFill="1" applyBorder="1" applyAlignment="1">
      <alignment horizontal="center" vertical="center"/>
    </xf>
    <xf numFmtId="164" fontId="34" fillId="0" borderId="0" xfId="54" applyNumberFormat="1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 wrapText="1"/>
    </xf>
    <xf numFmtId="164" fontId="34" fillId="0" borderId="16" xfId="54" applyNumberFormat="1" applyFont="1" applyFill="1" applyBorder="1" applyAlignment="1">
      <alignment horizontal="left" vertical="center"/>
    </xf>
    <xf numFmtId="164" fontId="34" fillId="0" borderId="16" xfId="74" applyNumberFormat="1" applyFont="1" applyFill="1" applyBorder="1" applyAlignment="1">
      <alignment horizontal="center" vertical="center"/>
    </xf>
    <xf numFmtId="14" fontId="47" fillId="0" borderId="16" xfId="54" applyNumberFormat="1" applyFont="1" applyFill="1" applyBorder="1" applyAlignment="1">
      <alignment horizontal="center" vertical="center"/>
    </xf>
    <xf numFmtId="164" fontId="47" fillId="0" borderId="16" xfId="54" applyNumberFormat="1" applyFont="1" applyFill="1" applyBorder="1" applyAlignment="1">
      <alignment horizontal="left" vertical="center"/>
    </xf>
    <xf numFmtId="0" fontId="47" fillId="0" borderId="16" xfId="54" quotePrefix="1" applyNumberFormat="1" applyFont="1" applyFill="1" applyBorder="1" applyAlignment="1">
      <alignment horizontal="center" vertical="center"/>
    </xf>
    <xf numFmtId="14" fontId="35" fillId="0" borderId="43" xfId="77" applyNumberFormat="1" applyFont="1" applyFill="1" applyBorder="1" applyAlignment="1">
      <alignment horizontal="center"/>
    </xf>
    <xf numFmtId="0" fontId="34" fillId="0" borderId="16" xfId="54" applyNumberFormat="1" applyFont="1" applyFill="1" applyBorder="1" applyAlignment="1">
      <alignment horizontal="center" vertical="center"/>
    </xf>
    <xf numFmtId="164" fontId="34" fillId="0" borderId="16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left" vertical="center"/>
    </xf>
    <xf numFmtId="0" fontId="34" fillId="0" borderId="19" xfId="54" applyNumberFormat="1" applyFont="1" applyFill="1" applyBorder="1" applyAlignment="1">
      <alignment horizontal="center" vertical="center"/>
    </xf>
    <xf numFmtId="164" fontId="34" fillId="0" borderId="19" xfId="74" applyNumberFormat="1" applyFont="1" applyFill="1" applyBorder="1" applyAlignment="1">
      <alignment vertical="center"/>
    </xf>
    <xf numFmtId="164" fontId="34" fillId="0" borderId="2" xfId="54" applyNumberFormat="1" applyFont="1" applyFill="1" applyBorder="1" applyAlignment="1">
      <alignment horizontal="center" vertical="center"/>
    </xf>
    <xf numFmtId="164" fontId="34" fillId="0" borderId="20" xfId="54" applyNumberFormat="1" applyFont="1" applyFill="1" applyBorder="1" applyAlignment="1">
      <alignment horizontal="center" vertical="center"/>
    </xf>
    <xf numFmtId="164" fontId="39" fillId="0" borderId="2" xfId="54" applyNumberFormat="1" applyFont="1" applyFill="1" applyBorder="1" applyAlignment="1">
      <alignment horizontal="left" vertical="center"/>
    </xf>
    <xf numFmtId="0" fontId="34" fillId="0" borderId="2" xfId="54" applyNumberFormat="1" applyFont="1" applyFill="1" applyBorder="1" applyAlignment="1">
      <alignment horizontal="center" vertical="center"/>
    </xf>
    <xf numFmtId="164" fontId="34" fillId="0" borderId="2" xfId="74" applyNumberFormat="1" applyFont="1" applyFill="1" applyBorder="1" applyAlignment="1">
      <alignment horizontal="center" vertical="center"/>
    </xf>
    <xf numFmtId="0" fontId="34" fillId="0" borderId="0" xfId="54" applyFont="1" applyFill="1" applyBorder="1" applyAlignment="1">
      <alignment horizontal="left" vertical="center"/>
    </xf>
    <xf numFmtId="0" fontId="34" fillId="0" borderId="0" xfId="54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horizontal="center" vertical="center"/>
    </xf>
    <xf numFmtId="164" fontId="34" fillId="0" borderId="0" xfId="74" applyNumberFormat="1" applyFont="1" applyFill="1" applyAlignment="1">
      <alignment horizontal="center" vertical="center"/>
    </xf>
    <xf numFmtId="0" fontId="34" fillId="0" borderId="0" xfId="90" applyFont="1" applyBorder="1" applyAlignment="1">
      <alignment horizontal="left" vertical="center"/>
    </xf>
    <xf numFmtId="0" fontId="34" fillId="0" borderId="0" xfId="90" applyFont="1" applyFill="1" applyAlignment="1">
      <alignment horizontal="center" vertical="center"/>
    </xf>
    <xf numFmtId="1" fontId="34" fillId="0" borderId="0" xfId="90" applyNumberFormat="1" applyFont="1" applyFill="1" applyAlignment="1">
      <alignment horizontal="center" vertical="center"/>
    </xf>
    <xf numFmtId="164" fontId="40" fillId="0" borderId="0" xfId="55" applyNumberFormat="1" applyFont="1" applyAlignment="1">
      <alignment vertical="center"/>
    </xf>
    <xf numFmtId="0" fontId="75" fillId="0" borderId="0" xfId="90" applyFont="1" applyAlignment="1">
      <alignment horizontal="center" vertical="center"/>
    </xf>
    <xf numFmtId="0" fontId="39" fillId="0" borderId="0" xfId="90" applyFont="1" applyAlignment="1">
      <alignment horizontal="center" vertical="center"/>
    </xf>
    <xf numFmtId="0" fontId="39" fillId="0" borderId="0" xfId="90" applyNumberFormat="1" applyFont="1" applyAlignment="1">
      <alignment horizontal="center" vertical="center"/>
    </xf>
    <xf numFmtId="0" fontId="34" fillId="0" borderId="0" xfId="90" applyFont="1" applyAlignment="1">
      <alignment horizontal="center" vertical="center"/>
    </xf>
    <xf numFmtId="0" fontId="34" fillId="0" borderId="0" xfId="90" applyNumberFormat="1" applyFont="1" applyAlignment="1">
      <alignment horizontal="center" vertical="center"/>
    </xf>
    <xf numFmtId="164" fontId="34" fillId="0" borderId="19" xfId="54" applyNumberFormat="1" applyFont="1" applyFill="1" applyBorder="1" applyAlignment="1">
      <alignment vertical="center"/>
    </xf>
    <xf numFmtId="43" fontId="34" fillId="0" borderId="0" xfId="74" applyFont="1" applyFill="1" applyAlignment="1">
      <alignment horizontal="center" vertical="center"/>
    </xf>
    <xf numFmtId="43" fontId="34" fillId="0" borderId="0" xfId="74" applyFont="1" applyFill="1" applyAlignment="1">
      <alignment horizontal="center" vertical="center" wrapText="1"/>
    </xf>
    <xf numFmtId="0" fontId="22" fillId="0" borderId="0" xfId="54" applyFont="1" applyFill="1" applyAlignment="1">
      <alignment vertical="center"/>
    </xf>
    <xf numFmtId="164" fontId="34" fillId="0" borderId="43" xfId="54" applyNumberFormat="1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vertical="center"/>
    </xf>
    <xf numFmtId="164" fontId="40" fillId="0" borderId="0" xfId="54" applyNumberFormat="1" applyFont="1" applyFill="1" applyAlignment="1">
      <alignment horizontal="center" vertical="center"/>
    </xf>
    <xf numFmtId="14" fontId="34" fillId="0" borderId="43" xfId="54" applyNumberFormat="1" applyFont="1" applyFill="1" applyBorder="1" applyAlignment="1">
      <alignment horizontal="center" vertical="center"/>
    </xf>
    <xf numFmtId="0" fontId="75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vertical="center"/>
    </xf>
    <xf numFmtId="43" fontId="39" fillId="0" borderId="0" xfId="74" applyFont="1" applyFill="1" applyAlignment="1">
      <alignment horizontal="center" vertical="center"/>
    </xf>
    <xf numFmtId="0" fontId="39" fillId="0" borderId="0" xfId="54" applyNumberFormat="1" applyFont="1" applyFill="1" applyAlignment="1">
      <alignment horizontal="center" vertical="center"/>
    </xf>
    <xf numFmtId="164" fontId="39" fillId="0" borderId="0" xfId="54" applyNumberFormat="1" applyFont="1" applyFill="1" applyAlignment="1">
      <alignment horizontal="center" vertical="center"/>
    </xf>
    <xf numFmtId="0" fontId="39" fillId="0" borderId="0" xfId="54" applyNumberFormat="1" applyFont="1" applyFill="1" applyAlignment="1">
      <alignment vertical="center"/>
    </xf>
    <xf numFmtId="0" fontId="34" fillId="0" borderId="0" xfId="54" applyFont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 wrapText="1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14" fontId="34" fillId="0" borderId="16" xfId="77" applyNumberFormat="1" applyFont="1" applyBorder="1" applyAlignment="1">
      <alignment horizontal="left" vertical="center" wrapText="1"/>
    </xf>
    <xf numFmtId="164" fontId="34" fillId="0" borderId="16" xfId="29" applyNumberFormat="1" applyFont="1" applyBorder="1" applyAlignment="1">
      <alignment horizontal="left" vertical="center" wrapText="1"/>
    </xf>
    <xf numFmtId="49" fontId="34" fillId="0" borderId="16" xfId="29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/>
    </xf>
    <xf numFmtId="0" fontId="39" fillId="21" borderId="20" xfId="34" applyFont="1" applyBorder="1" applyAlignment="1">
      <alignment horizontal="center" vertical="center" wrapText="1"/>
    </xf>
    <xf numFmtId="164" fontId="34" fillId="0" borderId="16" xfId="76" quotePrefix="1" applyNumberFormat="1" applyFont="1" applyFill="1" applyBorder="1" applyAlignment="1">
      <alignment horizontal="center" vertical="center" wrapText="1"/>
    </xf>
    <xf numFmtId="0" fontId="34" fillId="0" borderId="2" xfId="0" applyFont="1" applyBorder="1" applyAlignment="1">
      <alignment horizontal="center" wrapText="1"/>
    </xf>
    <xf numFmtId="164" fontId="47" fillId="0" borderId="16" xfId="76" applyNumberFormat="1" applyFont="1" applyFill="1" applyBorder="1" applyAlignment="1">
      <alignment horizontal="center" vertical="center" wrapText="1"/>
    </xf>
    <xf numFmtId="164" fontId="34" fillId="0" borderId="22" xfId="76" applyNumberFormat="1" applyFont="1" applyFill="1" applyBorder="1" applyAlignment="1">
      <alignment horizontal="center" vertical="center" wrapText="1"/>
    </xf>
    <xf numFmtId="14" fontId="34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9" fillId="0" borderId="2" xfId="52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 wrapText="1"/>
    </xf>
    <xf numFmtId="14" fontId="34" fillId="0" borderId="16" xfId="52" applyNumberFormat="1" applyFont="1" applyBorder="1" applyAlignment="1">
      <alignment horizontal="center" vertical="center"/>
    </xf>
    <xf numFmtId="14" fontId="34" fillId="0" borderId="21" xfId="54" applyNumberFormat="1" applyFont="1" applyFill="1" applyBorder="1" applyAlignment="1">
      <alignment horizontal="center" vertical="center"/>
    </xf>
    <xf numFmtId="14" fontId="39" fillId="0" borderId="2" xfId="54" applyNumberFormat="1" applyFont="1" applyFill="1" applyBorder="1" applyAlignment="1">
      <alignment horizontal="center" vertical="center"/>
    </xf>
    <xf numFmtId="0" fontId="39" fillId="0" borderId="2" xfId="52" applyFont="1" applyBorder="1" applyAlignment="1">
      <alignment vertical="center"/>
    </xf>
    <xf numFmtId="0" fontId="49" fillId="0" borderId="16" xfId="0" applyFont="1" applyBorder="1" applyAlignment="1">
      <alignment horizontal="center"/>
    </xf>
    <xf numFmtId="0" fontId="49" fillId="0" borderId="16" xfId="77" applyNumberFormat="1" applyFont="1" applyFill="1" applyBorder="1" applyAlignment="1">
      <alignment horizontal="center" vertical="center"/>
    </xf>
    <xf numFmtId="14" fontId="49" fillId="0" borderId="16" xfId="76" applyNumberFormat="1" applyFont="1" applyFill="1" applyBorder="1" applyAlignment="1">
      <alignment horizontal="center" vertical="center"/>
    </xf>
    <xf numFmtId="164" fontId="49" fillId="0" borderId="16" xfId="76" applyNumberFormat="1" applyFont="1" applyFill="1" applyBorder="1" applyAlignment="1">
      <alignment horizontal="left" vertical="center"/>
    </xf>
    <xf numFmtId="14" fontId="49" fillId="0" borderId="16" xfId="76" quotePrefix="1" applyNumberFormat="1" applyFont="1" applyFill="1" applyBorder="1" applyAlignment="1">
      <alignment horizontal="center" vertical="center" wrapText="1"/>
    </xf>
    <xf numFmtId="3" fontId="49" fillId="0" borderId="16" xfId="46" applyFont="1" applyBorder="1" applyAlignment="1">
      <alignment vertical="center"/>
    </xf>
    <xf numFmtId="164" fontId="49" fillId="0" borderId="16" xfId="77" applyNumberFormat="1" applyFont="1" applyFill="1" applyBorder="1" applyAlignment="1">
      <alignment vertical="center"/>
    </xf>
    <xf numFmtId="0" fontId="78" fillId="0" borderId="0" xfId="0" applyFont="1"/>
    <xf numFmtId="14" fontId="34" fillId="0" borderId="17" xfId="0" applyNumberFormat="1" applyFont="1" applyBorder="1" applyAlignment="1">
      <alignment horizontal="center" vertical="center"/>
    </xf>
    <xf numFmtId="14" fontId="34" fillId="0" borderId="18" xfId="0" applyNumberFormat="1" applyFont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49" fontId="34" fillId="0" borderId="2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1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23" xfId="76" quotePrefix="1" applyNumberFormat="1" applyFont="1" applyFill="1" applyBorder="1" applyAlignment="1">
      <alignment horizontal="center" vertical="center" wrapText="1"/>
    </xf>
    <xf numFmtId="0" fontId="34" fillId="0" borderId="34" xfId="76" quotePrefix="1" applyNumberFormat="1" applyFont="1" applyFill="1" applyBorder="1" applyAlignment="1">
      <alignment horizontal="center" vertical="center" wrapText="1"/>
    </xf>
    <xf numFmtId="49" fontId="34" fillId="0" borderId="2" xfId="76" applyNumberFormat="1" applyFont="1" applyFill="1" applyBorder="1" applyAlignment="1">
      <alignment horizontal="center" vertical="center" wrapText="1"/>
    </xf>
    <xf numFmtId="0" fontId="44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44" fillId="0" borderId="0" xfId="54" applyFont="1" applyFill="1" applyAlignment="1">
      <alignment horizontal="center" vertical="center"/>
    </xf>
    <xf numFmtId="0" fontId="36" fillId="0" borderId="0" xfId="54" applyFont="1" applyFill="1" applyAlignment="1">
      <alignment horizontal="center" vertical="center"/>
    </xf>
    <xf numFmtId="0" fontId="34" fillId="0" borderId="17" xfId="54" applyFont="1" applyFill="1" applyBorder="1" applyAlignment="1">
      <alignment horizontal="center" vertical="center"/>
    </xf>
    <xf numFmtId="0" fontId="34" fillId="0" borderId="18" xfId="54" applyFont="1" applyFill="1" applyBorder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5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/>
    </xf>
    <xf numFmtId="43" fontId="44" fillId="0" borderId="0" xfId="74" applyFont="1" applyFill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33" fillId="0" borderId="29" xfId="52" applyFont="1" applyBorder="1" applyAlignment="1">
      <alignment horizontal="center" vertical="center" wrapText="1"/>
    </xf>
    <xf numFmtId="0" fontId="64" fillId="0" borderId="30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7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quotePrefix="1" applyFont="1" applyAlignment="1">
      <alignment horizontal="center" vertical="center"/>
    </xf>
    <xf numFmtId="0" fontId="33" fillId="0" borderId="23" xfId="52" applyFont="1" applyBorder="1" applyAlignment="1">
      <alignment horizontal="center" vertical="center"/>
    </xf>
    <xf numFmtId="0" fontId="33" fillId="0" borderId="23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64" fillId="0" borderId="31" xfId="52" applyFont="1" applyBorder="1" applyAlignment="1">
      <alignment horizontal="center" vertical="center" wrapText="1"/>
    </xf>
    <xf numFmtId="0" fontId="39" fillId="21" borderId="25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8" fillId="0" borderId="23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4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horizontal="center" vertical="center"/>
    </xf>
    <xf numFmtId="0" fontId="34" fillId="0" borderId="23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" xfId="52" applyFont="1" applyBorder="1" applyAlignment="1">
      <alignment horizontal="center" vertical="center" wrapText="1"/>
    </xf>
    <xf numFmtId="0" fontId="34" fillId="0" borderId="25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164" fontId="33" fillId="0" borderId="2" xfId="77" applyNumberFormat="1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0" fontId="70" fillId="29" borderId="0" xfId="87" applyFont="1" applyFill="1" applyAlignment="1">
      <alignment horizontal="center" vertical="center" wrapText="1"/>
    </xf>
    <xf numFmtId="43" fontId="39" fillId="0" borderId="0" xfId="74" applyFont="1" applyAlignment="1">
      <alignment horizontal="center" vertical="center"/>
    </xf>
    <xf numFmtId="0" fontId="68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14" fontId="68" fillId="29" borderId="17" xfId="87" applyNumberFormat="1" applyFont="1" applyFill="1" applyBorder="1" applyAlignment="1">
      <alignment horizontal="center" vertical="center" wrapText="1"/>
    </xf>
    <xf numFmtId="14" fontId="68" fillId="29" borderId="24" xfId="87" applyNumberFormat="1" applyFont="1" applyFill="1" applyBorder="1" applyAlignment="1">
      <alignment horizontal="center" vertical="center" wrapText="1"/>
    </xf>
    <xf numFmtId="0" fontId="34" fillId="0" borderId="35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0" fontId="68" fillId="29" borderId="37" xfId="87" applyFont="1" applyFill="1" applyBorder="1" applyAlignment="1">
      <alignment horizontal="center" vertical="center" wrapText="1"/>
    </xf>
    <xf numFmtId="0" fontId="68" fillId="29" borderId="39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39" xfId="87" applyFont="1" applyFill="1" applyBorder="1" applyAlignment="1">
      <alignment horizontal="center" vertical="center" wrapText="1"/>
    </xf>
    <xf numFmtId="0" fontId="34" fillId="0" borderId="38" xfId="87" applyFont="1" applyFill="1" applyBorder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0" fontId="66" fillId="29" borderId="0" xfId="87" applyFont="1" applyFill="1" applyAlignment="1">
      <alignment horizontal="center" vertical="center"/>
    </xf>
    <xf numFmtId="0" fontId="67" fillId="0" borderId="0" xfId="87" applyFont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6" fillId="0" borderId="0" xfId="52" applyFont="1" applyAlignment="1">
      <alignment horizontal="center" vertical="center"/>
    </xf>
    <xf numFmtId="0" fontId="36" fillId="0" borderId="2" xfId="52" applyFont="1" applyBorder="1" applyAlignment="1">
      <alignment horizontal="center" vertical="center"/>
    </xf>
    <xf numFmtId="0" fontId="36" fillId="0" borderId="2" xfId="52" applyFont="1" applyBorder="1" applyAlignment="1">
      <alignment horizontal="center" vertical="center" wrapText="1"/>
    </xf>
    <xf numFmtId="0" fontId="34" fillId="0" borderId="0" xfId="52" applyFont="1" applyBorder="1" applyAlignment="1">
      <alignment horizontal="center" vertical="center"/>
    </xf>
    <xf numFmtId="49" fontId="34" fillId="0" borderId="0" xfId="52" applyNumberFormat="1" applyFont="1" applyAlignment="1">
      <alignment horizontal="left" vertical="center"/>
    </xf>
    <xf numFmtId="0" fontId="39" fillId="0" borderId="25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9" fillId="0" borderId="2" xfId="52" applyFont="1" applyBorder="1" applyAlignment="1">
      <alignment horizontal="center" vertical="center"/>
    </xf>
  </cellXfs>
  <cellStyles count="9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5"/>
    <cellStyle name="Normal 4" xfId="86"/>
    <cellStyle name="Normal 5" xfId="89"/>
    <cellStyle name="Normal 5 2" xfId="91"/>
    <cellStyle name="Normal_112 - 15" xfId="87"/>
    <cellStyle name="Normal_Bao cao" xfId="73"/>
    <cellStyle name="Normal_Copy of Ke-toan-mo-phong-mauso_ke_toan_NKC_excel-2" xfId="52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CONG%20NO/CONG%20NO%202015/TRA%20VINH/An%20L&#7841;c%20T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DPS"/>
      <sheetName val="TH"/>
      <sheetName val="331"/>
      <sheetName val="331-CT"/>
      <sheetName val="TH - TT"/>
      <sheetName val="tra vinh"/>
      <sheetName val="TH - TT (2)"/>
    </sheetNames>
    <sheetDataSet>
      <sheetData sheetId="0"/>
      <sheetData sheetId="1">
        <row r="7">
          <cell r="L7">
            <v>331</v>
          </cell>
        </row>
      </sheetData>
      <sheetData sheetId="2">
        <row r="4">
          <cell r="B4" t="str">
            <v>BQL Khu Kinh Tế Trà Vinh</v>
          </cell>
        </row>
      </sheetData>
      <sheetData sheetId="3">
        <row r="7">
          <cell r="E7" t="str">
            <v>Cty CP Cơ Khí Kim Loại Xây Dựng Hoàng Kim</v>
          </cell>
        </row>
      </sheetData>
      <sheetData sheetId="4">
        <row r="7">
          <cell r="I7">
            <v>32288666</v>
          </cell>
          <cell r="K7" t="str">
            <v>Thanh toán NH</v>
          </cell>
        </row>
        <row r="8">
          <cell r="I8">
            <v>29920000</v>
          </cell>
          <cell r="K8" t="str">
            <v>Thanh toán NH</v>
          </cell>
        </row>
        <row r="9">
          <cell r="I9">
            <v>29920000</v>
          </cell>
          <cell r="K9" t="str">
            <v>Thanh toán NH</v>
          </cell>
        </row>
        <row r="10">
          <cell r="I10">
            <v>29920000</v>
          </cell>
          <cell r="K10" t="str">
            <v>Thanh toán NH</v>
          </cell>
        </row>
        <row r="11">
          <cell r="I11">
            <v>36432000</v>
          </cell>
          <cell r="K11" t="str">
            <v>Thanh toán NH</v>
          </cell>
        </row>
        <row r="12">
          <cell r="I12">
            <v>34408000</v>
          </cell>
          <cell r="K12" t="str">
            <v>Thanh toán NH</v>
          </cell>
        </row>
        <row r="13">
          <cell r="I13">
            <v>36432000</v>
          </cell>
          <cell r="K13" t="str">
            <v>Thanh toán NH</v>
          </cell>
        </row>
        <row r="16">
          <cell r="I16">
            <v>274200666</v>
          </cell>
          <cell r="K16" t="str">
            <v>x</v>
          </cell>
        </row>
        <row r="17">
          <cell r="I17">
            <v>-74800000</v>
          </cell>
        </row>
        <row r="18">
          <cell r="I18">
            <v>80000000</v>
          </cell>
          <cell r="K18" t="str">
            <v>Thanh toán NH</v>
          </cell>
        </row>
        <row r="19">
          <cell r="I19">
            <v>80000000</v>
          </cell>
          <cell r="K19" t="str">
            <v>x</v>
          </cell>
        </row>
        <row r="20">
          <cell r="I20">
            <v>0</v>
          </cell>
        </row>
        <row r="21">
          <cell r="I21">
            <v>30800005</v>
          </cell>
          <cell r="K21" t="str">
            <v>Thanh toán NH</v>
          </cell>
        </row>
        <row r="22">
          <cell r="I22">
            <v>30800005</v>
          </cell>
          <cell r="K22" t="str">
            <v>x</v>
          </cell>
        </row>
        <row r="23">
          <cell r="I23">
            <v>0</v>
          </cell>
        </row>
        <row r="24">
          <cell r="I24">
            <v>30440000</v>
          </cell>
          <cell r="K24" t="str">
            <v>Thanh toán NH</v>
          </cell>
        </row>
        <row r="25">
          <cell r="I25">
            <v>30440000</v>
          </cell>
          <cell r="K25" t="str">
            <v>x</v>
          </cell>
        </row>
        <row r="26">
          <cell r="I26">
            <v>0</v>
          </cell>
        </row>
        <row r="27">
          <cell r="I27">
            <v>21610454</v>
          </cell>
          <cell r="K27" t="str">
            <v>Thanh toán NH</v>
          </cell>
        </row>
        <row r="28">
          <cell r="I28">
            <v>21610454</v>
          </cell>
          <cell r="K28" t="str">
            <v>x</v>
          </cell>
        </row>
        <row r="29">
          <cell r="I29">
            <v>0</v>
          </cell>
        </row>
        <row r="30">
          <cell r="I30">
            <v>33000000</v>
          </cell>
          <cell r="K30" t="str">
            <v>Thanh toán NH</v>
          </cell>
        </row>
        <row r="31">
          <cell r="I31">
            <v>33000000</v>
          </cell>
          <cell r="K31" t="str">
            <v>x</v>
          </cell>
        </row>
        <row r="32">
          <cell r="I32">
            <v>0</v>
          </cell>
        </row>
        <row r="33">
          <cell r="I33">
            <v>16327199</v>
          </cell>
          <cell r="K33" t="str">
            <v>Thanh toán NH</v>
          </cell>
        </row>
        <row r="34">
          <cell r="I34">
            <v>16327199</v>
          </cell>
          <cell r="K34" t="str">
            <v>x</v>
          </cell>
        </row>
        <row r="35">
          <cell r="I35">
            <v>0</v>
          </cell>
        </row>
        <row r="36">
          <cell r="I36">
            <v>43824000</v>
          </cell>
          <cell r="K36" t="str">
            <v>Thanh toán NH</v>
          </cell>
        </row>
        <row r="37">
          <cell r="I37">
            <v>76462320</v>
          </cell>
          <cell r="K37" t="str">
            <v>Thanh toán NH</v>
          </cell>
        </row>
        <row r="38">
          <cell r="I38">
            <v>133147080</v>
          </cell>
          <cell r="K38" t="str">
            <v>Thanh toán NH</v>
          </cell>
        </row>
        <row r="39">
          <cell r="I39">
            <v>378779940</v>
          </cell>
          <cell r="K39" t="str">
            <v>Thanh toán NH</v>
          </cell>
        </row>
        <row r="40">
          <cell r="I40">
            <v>252519960</v>
          </cell>
          <cell r="K40" t="str">
            <v>Thanh toán NH</v>
          </cell>
        </row>
        <row r="41">
          <cell r="I41">
            <v>378779940</v>
          </cell>
          <cell r="K41" t="str">
            <v>Thanh toán NH</v>
          </cell>
        </row>
        <row r="42">
          <cell r="I42">
            <v>323824160</v>
          </cell>
          <cell r="K42" t="str">
            <v>Thanh toán NH</v>
          </cell>
        </row>
        <row r="43">
          <cell r="I43">
            <v>1587337400</v>
          </cell>
          <cell r="K43" t="str">
            <v>x</v>
          </cell>
        </row>
        <row r="44">
          <cell r="I44">
            <v>0</v>
          </cell>
        </row>
        <row r="45">
          <cell r="I45">
            <v>5000000</v>
          </cell>
          <cell r="K45" t="str">
            <v>Thanh toán TM</v>
          </cell>
        </row>
        <row r="46">
          <cell r="I46">
            <v>41490000</v>
          </cell>
          <cell r="K46" t="str">
            <v>Thanh toán TM</v>
          </cell>
        </row>
        <row r="47">
          <cell r="I47">
            <v>5000000</v>
          </cell>
          <cell r="K47" t="str">
            <v>Thanh toán TM</v>
          </cell>
        </row>
        <row r="48">
          <cell r="I48">
            <v>51490000</v>
          </cell>
          <cell r="K48" t="str">
            <v>x</v>
          </cell>
        </row>
        <row r="49">
          <cell r="I49">
            <v>0</v>
          </cell>
        </row>
        <row r="50">
          <cell r="I50">
            <v>20000000</v>
          </cell>
          <cell r="K50" t="str">
            <v>Thanh toán NH</v>
          </cell>
        </row>
        <row r="51">
          <cell r="I51">
            <v>20000000</v>
          </cell>
          <cell r="K51" t="str">
            <v>Thanh toán NH</v>
          </cell>
        </row>
        <row r="52">
          <cell r="I52">
            <v>50000000</v>
          </cell>
          <cell r="K52" t="str">
            <v>Thanh toán NH</v>
          </cell>
        </row>
        <row r="53">
          <cell r="I53">
            <v>50000000</v>
          </cell>
          <cell r="K53" t="str">
            <v>Thanh toán NH</v>
          </cell>
        </row>
        <row r="54">
          <cell r="I54">
            <v>50000000</v>
          </cell>
          <cell r="K54" t="str">
            <v>Thanh toán NH</v>
          </cell>
        </row>
        <row r="55">
          <cell r="I55">
            <v>50000000</v>
          </cell>
          <cell r="K55" t="str">
            <v>Thanh toán NH</v>
          </cell>
        </row>
        <row r="56">
          <cell r="I56">
            <v>49000000</v>
          </cell>
          <cell r="K56" t="str">
            <v>Thanh toán NH</v>
          </cell>
        </row>
        <row r="57">
          <cell r="I57">
            <v>289000000</v>
          </cell>
          <cell r="K57" t="str">
            <v>x</v>
          </cell>
        </row>
        <row r="58">
          <cell r="I58">
            <v>0</v>
          </cell>
        </row>
        <row r="59">
          <cell r="I59">
            <v>45000000</v>
          </cell>
          <cell r="K59" t="str">
            <v>Thanh toán NH</v>
          </cell>
        </row>
        <row r="60">
          <cell r="I60">
            <v>105126466</v>
          </cell>
          <cell r="K60" t="str">
            <v>Thanh toán NH</v>
          </cell>
        </row>
        <row r="62">
          <cell r="I62">
            <v>150126466</v>
          </cell>
          <cell r="K62" t="str">
            <v>x</v>
          </cell>
        </row>
        <row r="63">
          <cell r="I63">
            <v>0</v>
          </cell>
        </row>
        <row r="64">
          <cell r="I64">
            <v>53060000</v>
          </cell>
          <cell r="K64" t="str">
            <v>Thanh toán NH</v>
          </cell>
        </row>
        <row r="65">
          <cell r="I65">
            <v>53060000</v>
          </cell>
          <cell r="K65" t="str">
            <v>x</v>
          </cell>
        </row>
        <row r="66">
          <cell r="I66">
            <v>0</v>
          </cell>
        </row>
        <row r="67">
          <cell r="I67">
            <v>30000000</v>
          </cell>
          <cell r="K67" t="str">
            <v>Thanh toán NH</v>
          </cell>
        </row>
        <row r="68">
          <cell r="I68">
            <v>30000000</v>
          </cell>
          <cell r="K68" t="str">
            <v>Thanh toán NH</v>
          </cell>
        </row>
        <row r="69">
          <cell r="I69">
            <v>60000000</v>
          </cell>
          <cell r="K69" t="str">
            <v>x</v>
          </cell>
        </row>
        <row r="70">
          <cell r="I70">
            <v>40000000</v>
          </cell>
        </row>
        <row r="71">
          <cell r="I71">
            <v>27500000</v>
          </cell>
          <cell r="K71" t="str">
            <v>Thanh toán NH</v>
          </cell>
        </row>
        <row r="72">
          <cell r="I72">
            <v>33000000</v>
          </cell>
          <cell r="K72" t="str">
            <v>Thanh toán NH</v>
          </cell>
        </row>
        <row r="73">
          <cell r="I73">
            <v>60500000</v>
          </cell>
          <cell r="K73" t="str">
            <v>x</v>
          </cell>
        </row>
        <row r="74">
          <cell r="I74">
            <v>0</v>
          </cell>
        </row>
        <row r="75">
          <cell r="I75">
            <v>128400000</v>
          </cell>
          <cell r="K75" t="str">
            <v>Thanh toán NH</v>
          </cell>
        </row>
        <row r="77">
          <cell r="I77">
            <v>128400000</v>
          </cell>
          <cell r="K77" t="str">
            <v>x</v>
          </cell>
        </row>
        <row r="78">
          <cell r="I78">
            <v>299600000</v>
          </cell>
        </row>
        <row r="79">
          <cell r="I79">
            <v>100000000</v>
          </cell>
          <cell r="K79" t="str">
            <v>Thanh toán NH</v>
          </cell>
        </row>
        <row r="80">
          <cell r="I80">
            <v>50000000</v>
          </cell>
          <cell r="K80" t="str">
            <v>Thanh toán NH</v>
          </cell>
        </row>
        <row r="81">
          <cell r="I81">
            <v>100000000</v>
          </cell>
          <cell r="K81" t="str">
            <v>Thanh toán NH</v>
          </cell>
        </row>
        <row r="82">
          <cell r="I82">
            <v>100000000</v>
          </cell>
          <cell r="K82" t="str">
            <v>Thanh toán TM</v>
          </cell>
        </row>
        <row r="83">
          <cell r="I83">
            <v>200000000</v>
          </cell>
          <cell r="K83" t="str">
            <v>Thanh toán NH</v>
          </cell>
        </row>
        <row r="84">
          <cell r="I84">
            <v>-91500000</v>
          </cell>
          <cell r="K84" t="str">
            <v>Thu TM</v>
          </cell>
        </row>
        <row r="85">
          <cell r="I85">
            <v>100000000</v>
          </cell>
          <cell r="K85" t="str">
            <v>Thanh toán NH</v>
          </cell>
        </row>
        <row r="86">
          <cell r="I86">
            <v>100000000</v>
          </cell>
          <cell r="K86" t="str">
            <v>Thanh toán TM</v>
          </cell>
        </row>
        <row r="87">
          <cell r="I87">
            <v>100000000</v>
          </cell>
          <cell r="K87" t="str">
            <v>Thanh toán NH</v>
          </cell>
        </row>
        <row r="88">
          <cell r="I88">
            <v>50000000</v>
          </cell>
          <cell r="K88" t="str">
            <v>Thanh toán NH</v>
          </cell>
        </row>
        <row r="89">
          <cell r="I89">
            <v>100000000</v>
          </cell>
          <cell r="K89" t="str">
            <v>Thanh toán NH</v>
          </cell>
        </row>
        <row r="90">
          <cell r="I90">
            <v>100000000</v>
          </cell>
          <cell r="K90" t="str">
            <v>Thanh toán TM</v>
          </cell>
        </row>
        <row r="91">
          <cell r="I91">
            <v>50000000</v>
          </cell>
          <cell r="K91" t="str">
            <v>Thanh toán NH</v>
          </cell>
        </row>
        <row r="92">
          <cell r="I92">
            <v>800000000</v>
          </cell>
          <cell r="K92" t="str">
            <v>Thanh toán NH</v>
          </cell>
        </row>
        <row r="93">
          <cell r="I93">
            <v>1500000000</v>
          </cell>
          <cell r="K93" t="str">
            <v>Thanh toán NH</v>
          </cell>
        </row>
        <row r="94">
          <cell r="I94">
            <v>1000000000</v>
          </cell>
          <cell r="K94" t="str">
            <v>Thanh toán NH</v>
          </cell>
        </row>
        <row r="95">
          <cell r="I95">
            <v>1000000000</v>
          </cell>
          <cell r="K95" t="str">
            <v>Thanh toán NH</v>
          </cell>
        </row>
        <row r="96">
          <cell r="I96">
            <v>700000000</v>
          </cell>
          <cell r="K96" t="str">
            <v>Thanh toán NH</v>
          </cell>
        </row>
        <row r="97">
          <cell r="I97">
            <v>500000000</v>
          </cell>
          <cell r="K97" t="str">
            <v>Thanh toán NH</v>
          </cell>
        </row>
        <row r="98">
          <cell r="I98">
            <v>500000000</v>
          </cell>
          <cell r="K98" t="str">
            <v>Thanh toán NH</v>
          </cell>
        </row>
        <row r="99">
          <cell r="I99">
            <v>500000000</v>
          </cell>
          <cell r="K99" t="str">
            <v>Thanh toán NH</v>
          </cell>
        </row>
        <row r="100">
          <cell r="I100">
            <v>1000000000</v>
          </cell>
          <cell r="K100" t="str">
            <v>Thanh toán NH</v>
          </cell>
        </row>
        <row r="101">
          <cell r="I101">
            <v>300000000</v>
          </cell>
          <cell r="K101" t="str">
            <v>Thanh toán NH</v>
          </cell>
        </row>
        <row r="104">
          <cell r="I104">
            <v>8858500000</v>
          </cell>
          <cell r="K104" t="str">
            <v>x</v>
          </cell>
        </row>
        <row r="105">
          <cell r="I105">
            <v>2464055140</v>
          </cell>
        </row>
        <row r="106">
          <cell r="I106">
            <v>50000000</v>
          </cell>
          <cell r="K106" t="str">
            <v>Thanh toán NH</v>
          </cell>
        </row>
        <row r="107">
          <cell r="I107">
            <v>50000000</v>
          </cell>
          <cell r="K107" t="str">
            <v>Thanh toán NH</v>
          </cell>
        </row>
        <row r="108">
          <cell r="I108">
            <v>50000000</v>
          </cell>
          <cell r="K108" t="str">
            <v>Thanh toán NH</v>
          </cell>
        </row>
        <row r="110">
          <cell r="I110">
            <v>150000000</v>
          </cell>
          <cell r="K110" t="str">
            <v>x</v>
          </cell>
        </row>
        <row r="111">
          <cell r="I111">
            <v>50000000</v>
          </cell>
        </row>
        <row r="112">
          <cell r="I112">
            <v>752610000</v>
          </cell>
          <cell r="K112" t="str">
            <v>Thanh toán NH</v>
          </cell>
        </row>
        <row r="113">
          <cell r="I113">
            <v>-200000000</v>
          </cell>
          <cell r="K113" t="str">
            <v>Thu TM</v>
          </cell>
        </row>
        <row r="114">
          <cell r="I114">
            <v>500000000</v>
          </cell>
          <cell r="K114" t="str">
            <v>Thanh toán NH</v>
          </cell>
        </row>
        <row r="115">
          <cell r="I115">
            <v>-100000000</v>
          </cell>
          <cell r="K115" t="str">
            <v>Thu TM</v>
          </cell>
        </row>
        <row r="116">
          <cell r="I116">
            <v>500000000</v>
          </cell>
          <cell r="K116" t="str">
            <v>Thanh toán NH</v>
          </cell>
        </row>
        <row r="117">
          <cell r="I117">
            <v>-100000000</v>
          </cell>
          <cell r="K117" t="str">
            <v>Thu TM</v>
          </cell>
        </row>
        <row r="118">
          <cell r="I118">
            <v>251000000</v>
          </cell>
          <cell r="K118" t="str">
            <v>Thanh toán NH</v>
          </cell>
        </row>
        <row r="119">
          <cell r="I119">
            <v>200000000</v>
          </cell>
          <cell r="K119" t="str">
            <v>Thanh toán NH</v>
          </cell>
        </row>
        <row r="120">
          <cell r="I120">
            <v>400000000</v>
          </cell>
          <cell r="K120" t="str">
            <v>Thanh toán NH</v>
          </cell>
        </row>
        <row r="121">
          <cell r="I121">
            <v>-200000000</v>
          </cell>
          <cell r="K121" t="str">
            <v>Thu TM</v>
          </cell>
        </row>
        <row r="124">
          <cell r="I124">
            <v>2003610000</v>
          </cell>
          <cell r="K124" t="str">
            <v>x</v>
          </cell>
        </row>
        <row r="125">
          <cell r="I125">
            <v>245090000</v>
          </cell>
          <cell r="K125">
            <v>321230000</v>
          </cell>
        </row>
        <row r="126">
          <cell r="I126">
            <v>600000000</v>
          </cell>
          <cell r="K126" t="str">
            <v>Thanh toán NH</v>
          </cell>
        </row>
        <row r="127">
          <cell r="I127">
            <v>600000000</v>
          </cell>
          <cell r="K127" t="str">
            <v>Thanh toán NH</v>
          </cell>
        </row>
        <row r="128">
          <cell r="I128">
            <v>500000000</v>
          </cell>
          <cell r="K128" t="str">
            <v>Thanh toán NH</v>
          </cell>
        </row>
        <row r="129">
          <cell r="I129">
            <v>500000000</v>
          </cell>
          <cell r="K129" t="str">
            <v>Thanh toán NH</v>
          </cell>
        </row>
        <row r="130">
          <cell r="I130">
            <v>-500000000</v>
          </cell>
          <cell r="K130" t="str">
            <v>Thu TM</v>
          </cell>
        </row>
        <row r="131">
          <cell r="I131">
            <v>500000000</v>
          </cell>
          <cell r="K131" t="str">
            <v>Thanh toán NH</v>
          </cell>
        </row>
        <row r="132">
          <cell r="I132">
            <v>500000000</v>
          </cell>
          <cell r="K132" t="str">
            <v>Thanh toán NH</v>
          </cell>
        </row>
        <row r="133">
          <cell r="I133">
            <v>-200000000</v>
          </cell>
          <cell r="K133" t="str">
            <v>Thu TM</v>
          </cell>
        </row>
        <row r="135">
          <cell r="I135">
            <v>2500000000</v>
          </cell>
          <cell r="K135" t="str">
            <v>x</v>
          </cell>
        </row>
        <row r="136">
          <cell r="I136">
            <v>410000000</v>
          </cell>
        </row>
        <row r="137">
          <cell r="I137">
            <v>360000000</v>
          </cell>
          <cell r="K137" t="str">
            <v>Thanh toán NH</v>
          </cell>
        </row>
        <row r="139">
          <cell r="I139">
            <v>360000000</v>
          </cell>
          <cell r="K139" t="str">
            <v>x</v>
          </cell>
        </row>
        <row r="140">
          <cell r="I140">
            <v>940000000</v>
          </cell>
        </row>
        <row r="141">
          <cell r="I141">
            <v>195195000</v>
          </cell>
          <cell r="K141" t="str">
            <v>Thanh toán NH</v>
          </cell>
        </row>
        <row r="142">
          <cell r="I142">
            <v>140000000</v>
          </cell>
          <cell r="K142" t="str">
            <v>Thanh toán NH</v>
          </cell>
        </row>
        <row r="144">
          <cell r="I144">
            <v>335195000</v>
          </cell>
          <cell r="K144" t="str">
            <v>x</v>
          </cell>
        </row>
        <row r="145">
          <cell r="I145">
            <v>150455000</v>
          </cell>
        </row>
        <row r="146">
          <cell r="I146">
            <v>100000000</v>
          </cell>
          <cell r="K146" t="str">
            <v>Thanh toán NH</v>
          </cell>
        </row>
        <row r="147">
          <cell r="I147">
            <v>100000000</v>
          </cell>
          <cell r="K147" t="str">
            <v>Thanh toán NH</v>
          </cell>
        </row>
        <row r="148">
          <cell r="I148">
            <v>55297700</v>
          </cell>
          <cell r="K148" t="str">
            <v>Thanh toán NH</v>
          </cell>
        </row>
        <row r="149">
          <cell r="I149">
            <v>255297700</v>
          </cell>
          <cell r="K149" t="str">
            <v>x</v>
          </cell>
        </row>
        <row r="150">
          <cell r="I150">
            <v>0</v>
          </cell>
        </row>
        <row r="151">
          <cell r="I151">
            <v>100000000</v>
          </cell>
          <cell r="K151" t="str">
            <v>Thanh toán NH</v>
          </cell>
        </row>
        <row r="152">
          <cell r="I152">
            <v>200000000</v>
          </cell>
          <cell r="K152" t="str">
            <v>Thanh toán NH</v>
          </cell>
        </row>
        <row r="153">
          <cell r="I153">
            <v>201012500</v>
          </cell>
          <cell r="K153" t="str">
            <v>Thanh toán NH</v>
          </cell>
        </row>
        <row r="155">
          <cell r="I155">
            <v>501012500</v>
          </cell>
          <cell r="K155" t="str">
            <v>x</v>
          </cell>
        </row>
        <row r="156">
          <cell r="I156">
            <v>114906620</v>
          </cell>
        </row>
        <row r="157">
          <cell r="I157">
            <v>100000000</v>
          </cell>
          <cell r="K157" t="str">
            <v>Thanh toán NH</v>
          </cell>
        </row>
        <row r="159">
          <cell r="I159">
            <v>100000000</v>
          </cell>
          <cell r="K159" t="str">
            <v>x</v>
          </cell>
        </row>
        <row r="160">
          <cell r="I160">
            <v>198500000</v>
          </cell>
        </row>
        <row r="161">
          <cell r="I161">
            <v>150000000</v>
          </cell>
          <cell r="K161" t="str">
            <v>Thanh toán NH</v>
          </cell>
        </row>
        <row r="162">
          <cell r="I162">
            <v>150000000</v>
          </cell>
          <cell r="K162" t="str">
            <v>Thanh toán NH</v>
          </cell>
        </row>
        <row r="163">
          <cell r="I163">
            <v>50000000</v>
          </cell>
          <cell r="K163" t="str">
            <v>Thanh toán NH</v>
          </cell>
        </row>
        <row r="164">
          <cell r="I164">
            <v>200000000</v>
          </cell>
          <cell r="K164" t="str">
            <v>Thanh toán NH</v>
          </cell>
        </row>
        <row r="165">
          <cell r="I165">
            <v>100000000</v>
          </cell>
          <cell r="K165" t="str">
            <v>Thanh toán NH</v>
          </cell>
        </row>
        <row r="166">
          <cell r="I166">
            <v>400000000</v>
          </cell>
          <cell r="K166" t="str">
            <v>Thanh toán NH</v>
          </cell>
        </row>
        <row r="167">
          <cell r="I167">
            <v>-200000000</v>
          </cell>
          <cell r="K167" t="str">
            <v>Thu TM</v>
          </cell>
        </row>
        <row r="169">
          <cell r="I169">
            <v>850000000</v>
          </cell>
          <cell r="K169" t="str">
            <v>x</v>
          </cell>
        </row>
        <row r="170">
          <cell r="I170">
            <v>117727768</v>
          </cell>
        </row>
        <row r="171">
          <cell r="I171">
            <v>200000000</v>
          </cell>
          <cell r="K171" t="str">
            <v>Thanh toán NH</v>
          </cell>
        </row>
        <row r="172">
          <cell r="I172">
            <v>250000000</v>
          </cell>
          <cell r="K172" t="str">
            <v>Thanh toán NH</v>
          </cell>
        </row>
        <row r="173">
          <cell r="I173">
            <v>300000000</v>
          </cell>
          <cell r="K173" t="str">
            <v>Thanh toán NH</v>
          </cell>
        </row>
        <row r="174">
          <cell r="I174">
            <v>-100000000</v>
          </cell>
          <cell r="K174" t="str">
            <v>Thu TM</v>
          </cell>
        </row>
        <row r="175">
          <cell r="I175">
            <v>150000000</v>
          </cell>
          <cell r="K175" t="str">
            <v>Thanh toán NH</v>
          </cell>
        </row>
        <row r="176">
          <cell r="I176">
            <v>150000000</v>
          </cell>
          <cell r="K176" t="str">
            <v>Thanh toán NH</v>
          </cell>
        </row>
        <row r="178">
          <cell r="I178">
            <v>950000000</v>
          </cell>
          <cell r="K178" t="str">
            <v>x</v>
          </cell>
        </row>
        <row r="179">
          <cell r="I179">
            <v>141279000</v>
          </cell>
        </row>
        <row r="180">
          <cell r="I180">
            <v>200000000</v>
          </cell>
          <cell r="K180" t="str">
            <v>Thanh toán NH</v>
          </cell>
        </row>
        <row r="181">
          <cell r="I181">
            <v>500000000</v>
          </cell>
          <cell r="K181" t="str">
            <v>Thanh toán NH</v>
          </cell>
        </row>
        <row r="182">
          <cell r="I182">
            <v>-300000000</v>
          </cell>
          <cell r="K182" t="str">
            <v>Thu TM</v>
          </cell>
        </row>
        <row r="183">
          <cell r="I183">
            <v>500000000</v>
          </cell>
          <cell r="K183" t="str">
            <v>Thanh toán NH</v>
          </cell>
        </row>
        <row r="184">
          <cell r="I184">
            <v>-300000000</v>
          </cell>
          <cell r="K184" t="str">
            <v>Thu TM</v>
          </cell>
        </row>
        <row r="185">
          <cell r="I185">
            <v>400000000</v>
          </cell>
          <cell r="K185" t="str">
            <v>Thanh toán NH</v>
          </cell>
        </row>
        <row r="188">
          <cell r="I188">
            <v>1000000000</v>
          </cell>
          <cell r="K188" t="str">
            <v>x</v>
          </cell>
        </row>
        <row r="189">
          <cell r="I189">
            <v>-131550000</v>
          </cell>
        </row>
        <row r="190">
          <cell r="I190">
            <v>171000000</v>
          </cell>
          <cell r="K190" t="str">
            <v>Thanh toán NH</v>
          </cell>
        </row>
        <row r="191">
          <cell r="I191">
            <v>228000000</v>
          </cell>
          <cell r="K191" t="str">
            <v>Thanh toán NH</v>
          </cell>
        </row>
        <row r="193">
          <cell r="I193">
            <v>399000000</v>
          </cell>
          <cell r="K193" t="str">
            <v>x</v>
          </cell>
        </row>
        <row r="194">
          <cell r="I194">
            <v>171000000</v>
          </cell>
        </row>
        <row r="195">
          <cell r="I195">
            <v>100000000</v>
          </cell>
          <cell r="K195" t="str">
            <v>Thanh toán NH</v>
          </cell>
        </row>
        <row r="196">
          <cell r="I196">
            <v>200000000</v>
          </cell>
          <cell r="K196" t="str">
            <v>Thanh toán NH</v>
          </cell>
        </row>
        <row r="197">
          <cell r="I197">
            <v>500000000</v>
          </cell>
          <cell r="K197" t="str">
            <v>Thanh toán NH</v>
          </cell>
        </row>
        <row r="198">
          <cell r="I198">
            <v>-300000000</v>
          </cell>
          <cell r="K198" t="str">
            <v>Thu TM</v>
          </cell>
        </row>
        <row r="199">
          <cell r="I199">
            <v>400000000</v>
          </cell>
          <cell r="K199" t="str">
            <v>Thanh toán NH</v>
          </cell>
        </row>
        <row r="200">
          <cell r="I200">
            <v>-200000000</v>
          </cell>
          <cell r="K200" t="str">
            <v>Thu TM</v>
          </cell>
        </row>
        <row r="201">
          <cell r="I201">
            <v>150000000</v>
          </cell>
          <cell r="K201" t="str">
            <v>Thanh toán NH</v>
          </cell>
        </row>
        <row r="202">
          <cell r="I202">
            <v>400000000</v>
          </cell>
          <cell r="K202" t="str">
            <v>Thanh toán NH</v>
          </cell>
        </row>
        <row r="207">
          <cell r="I207">
            <v>1250000000</v>
          </cell>
          <cell r="K207" t="str">
            <v>x</v>
          </cell>
        </row>
        <row r="208">
          <cell r="I208">
            <v>1005000000</v>
          </cell>
        </row>
        <row r="209">
          <cell r="I209">
            <v>90000000</v>
          </cell>
          <cell r="K209" t="str">
            <v>Thanh toán NH</v>
          </cell>
        </row>
        <row r="210">
          <cell r="I210">
            <v>50000000</v>
          </cell>
          <cell r="K210" t="str">
            <v>Thanh toán NH</v>
          </cell>
        </row>
        <row r="211">
          <cell r="I211">
            <v>50000000</v>
          </cell>
          <cell r="K211" t="str">
            <v>Thanh toán NH</v>
          </cell>
        </row>
        <row r="212">
          <cell r="I212">
            <v>50000000</v>
          </cell>
          <cell r="K212" t="str">
            <v>Thanh toán NH</v>
          </cell>
        </row>
        <row r="213">
          <cell r="I213">
            <v>30000000</v>
          </cell>
          <cell r="K213" t="str">
            <v>Thanh toán NH</v>
          </cell>
        </row>
        <row r="214">
          <cell r="I214">
            <v>10000000</v>
          </cell>
          <cell r="K214" t="str">
            <v>Thanh toán TM</v>
          </cell>
        </row>
        <row r="216">
          <cell r="I216">
            <v>280000000</v>
          </cell>
          <cell r="K216" t="str">
            <v>x</v>
          </cell>
        </row>
        <row r="217">
          <cell r="I217">
            <v>2530000</v>
          </cell>
        </row>
        <row r="218">
          <cell r="I218">
            <v>200000000</v>
          </cell>
          <cell r="K218" t="str">
            <v>Thanh toán NH</v>
          </cell>
        </row>
        <row r="220">
          <cell r="I220">
            <v>200000000</v>
          </cell>
          <cell r="K220" t="str">
            <v>x</v>
          </cell>
        </row>
        <row r="221">
          <cell r="I221">
            <v>399632000</v>
          </cell>
        </row>
        <row r="222">
          <cell r="I222">
            <v>47562486</v>
          </cell>
          <cell r="K222" t="str">
            <v>Thanh toán TM</v>
          </cell>
        </row>
        <row r="223">
          <cell r="I223">
            <v>1210608255</v>
          </cell>
          <cell r="K223" t="str">
            <v>Thanh toán TM</v>
          </cell>
        </row>
        <row r="224">
          <cell r="I224">
            <v>23000000</v>
          </cell>
          <cell r="K224" t="str">
            <v>Thanh toán TM</v>
          </cell>
        </row>
        <row r="225">
          <cell r="I225">
            <v>3740000</v>
          </cell>
          <cell r="K225" t="str">
            <v>Thanh toán TM</v>
          </cell>
        </row>
        <row r="226">
          <cell r="I226">
            <v>0</v>
          </cell>
        </row>
        <row r="227">
          <cell r="I227">
            <v>1284910741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G10" sqref="G10:H39"/>
    </sheetView>
  </sheetViews>
  <sheetFormatPr defaultColWidth="8" defaultRowHeight="13.5"/>
  <cols>
    <col min="1" max="1" width="7.42578125" style="33" customWidth="1"/>
    <col min="2" max="2" width="35.85546875" style="33" customWidth="1"/>
    <col min="3" max="3" width="14.5703125" style="32" customWidth="1"/>
    <col min="4" max="4" width="13.5703125" style="32" customWidth="1"/>
    <col min="5" max="5" width="15.140625" style="33" customWidth="1"/>
    <col min="6" max="6" width="17.28515625" style="33" customWidth="1"/>
    <col min="7" max="7" width="13.85546875" style="33" customWidth="1"/>
    <col min="8" max="8" width="14.7109375" style="33" customWidth="1"/>
    <col min="9" max="9" width="6.140625" style="33" customWidth="1"/>
    <col min="10" max="10" width="15.42578125" style="33" customWidth="1"/>
    <col min="11" max="11" width="13.7109375" style="33" customWidth="1"/>
    <col min="12" max="16384" width="8" style="33"/>
  </cols>
  <sheetData>
    <row r="1" spans="1:12">
      <c r="A1" s="31" t="s">
        <v>89</v>
      </c>
      <c r="B1" s="31"/>
    </row>
    <row r="2" spans="1:12">
      <c r="A2" s="31" t="s">
        <v>90</v>
      </c>
      <c r="B2" s="31"/>
    </row>
    <row r="3" spans="1:12">
      <c r="A3" s="31" t="s">
        <v>91</v>
      </c>
      <c r="B3" s="31"/>
    </row>
    <row r="5" spans="1:12" ht="15.75">
      <c r="A5" s="34" t="s">
        <v>92</v>
      </c>
      <c r="B5" s="34"/>
      <c r="C5" s="35"/>
      <c r="D5" s="35"/>
      <c r="E5" s="34"/>
      <c r="F5" s="34"/>
      <c r="G5" s="34"/>
      <c r="H5" s="34"/>
    </row>
    <row r="6" spans="1:12" ht="15.75">
      <c r="A6" s="36" t="s">
        <v>93</v>
      </c>
      <c r="B6" s="34"/>
      <c r="C6" s="35"/>
      <c r="D6" s="35"/>
      <c r="E6" s="34"/>
      <c r="F6" s="34"/>
      <c r="G6" s="34"/>
      <c r="H6" s="34"/>
    </row>
    <row r="8" spans="1:12">
      <c r="A8" s="37"/>
      <c r="B8" s="37" t="s">
        <v>94</v>
      </c>
      <c r="C8" s="38" t="s">
        <v>95</v>
      </c>
      <c r="D8" s="38"/>
      <c r="E8" s="39" t="s">
        <v>96</v>
      </c>
      <c r="F8" s="39"/>
      <c r="G8" s="39" t="s">
        <v>97</v>
      </c>
      <c r="H8" s="39"/>
    </row>
    <row r="9" spans="1:12">
      <c r="A9" s="40" t="s">
        <v>98</v>
      </c>
      <c r="B9" s="40"/>
      <c r="C9" s="38" t="s">
        <v>99</v>
      </c>
      <c r="D9" s="38" t="s">
        <v>100</v>
      </c>
      <c r="E9" s="39" t="s">
        <v>99</v>
      </c>
      <c r="F9" s="39" t="s">
        <v>100</v>
      </c>
      <c r="G9" s="39" t="s">
        <v>99</v>
      </c>
      <c r="H9" s="39" t="s">
        <v>100</v>
      </c>
    </row>
    <row r="10" spans="1:12" s="32" customFormat="1">
      <c r="A10" s="41" t="s">
        <v>101</v>
      </c>
      <c r="B10" s="42" t="s">
        <v>102</v>
      </c>
      <c r="C10" s="43">
        <v>3024643500</v>
      </c>
      <c r="D10" s="43"/>
      <c r="E10" s="43">
        <f t="array" ref="E10">SUM(IF(A10=KHN,TH))</f>
        <v>0</v>
      </c>
      <c r="F10" s="43">
        <f t="array" ref="F10">SUM(IF(A10=KHC,TH))</f>
        <v>1343576000</v>
      </c>
      <c r="G10" s="44">
        <f>MAX(C10+E10-D10-F10,0)</f>
        <v>1681067500</v>
      </c>
      <c r="H10" s="44">
        <f>MAX(D10+F10-E10-C10,0)</f>
        <v>0</v>
      </c>
      <c r="K10" s="45"/>
      <c r="L10" s="45"/>
    </row>
    <row r="11" spans="1:12" s="32" customFormat="1">
      <c r="A11" s="46" t="s">
        <v>20</v>
      </c>
      <c r="B11" s="47" t="s">
        <v>103</v>
      </c>
      <c r="C11" s="48">
        <v>3024643500</v>
      </c>
      <c r="D11" s="48"/>
      <c r="E11" s="48">
        <f>E10</f>
        <v>0</v>
      </c>
      <c r="F11" s="48">
        <f>F10</f>
        <v>1343576000</v>
      </c>
      <c r="G11" s="48">
        <f>G10</f>
        <v>1681067500</v>
      </c>
      <c r="H11" s="48">
        <f>H10</f>
        <v>0</v>
      </c>
    </row>
    <row r="12" spans="1:12" s="32" customFormat="1">
      <c r="A12" s="49" t="s">
        <v>34</v>
      </c>
      <c r="B12" s="42" t="s">
        <v>104</v>
      </c>
      <c r="C12" s="43">
        <v>628500</v>
      </c>
      <c r="D12" s="43"/>
      <c r="E12" s="43">
        <f t="array" ref="E12">SUM(IF(A12=KHN,TH))</f>
        <v>8474947244</v>
      </c>
      <c r="F12" s="43">
        <f t="array" ref="F12">SUM(IF(A12=KHC,TH))</f>
        <v>7974670517</v>
      </c>
      <c r="G12" s="44">
        <f>MAX(C12+E12-D12-F12,0)</f>
        <v>500905227</v>
      </c>
      <c r="H12" s="44">
        <f>MAX(D12+F12-E12-C12,0)</f>
        <v>0</v>
      </c>
      <c r="K12" s="45"/>
      <c r="L12" s="45"/>
    </row>
    <row r="13" spans="1:12" s="32" customFormat="1">
      <c r="A13" s="46" t="s">
        <v>105</v>
      </c>
      <c r="B13" s="47" t="s">
        <v>106</v>
      </c>
      <c r="C13" s="48">
        <v>628500</v>
      </c>
      <c r="D13" s="48">
        <v>0</v>
      </c>
      <c r="E13" s="48">
        <f>E12</f>
        <v>8474947244</v>
      </c>
      <c r="F13" s="48">
        <f>F12</f>
        <v>7974670517</v>
      </c>
      <c r="G13" s="48">
        <f>MAX(C13+E13-D13-F13,0)</f>
        <v>500905227</v>
      </c>
      <c r="H13" s="48">
        <f>MAX(D13+F13-E13-C13,0)</f>
        <v>0</v>
      </c>
    </row>
    <row r="14" spans="1:12" s="32" customFormat="1">
      <c r="A14" s="49" t="s">
        <v>10</v>
      </c>
      <c r="B14" s="42" t="s">
        <v>107</v>
      </c>
      <c r="C14" s="43"/>
      <c r="D14" s="43"/>
      <c r="E14" s="43">
        <f t="array" ref="E14">SUM(IF(A14=KHN,TH))</f>
        <v>197444018</v>
      </c>
      <c r="F14" s="43">
        <f t="array" ref="F14">SUM(IF(A14=KHC,TH))</f>
        <v>0</v>
      </c>
      <c r="G14" s="44">
        <f>MAX(C14+E14-D14-F14,0)</f>
        <v>197444018</v>
      </c>
      <c r="H14" s="44">
        <f>MAX(D14+F14-E14-C14,0)</f>
        <v>0</v>
      </c>
    </row>
    <row r="15" spans="1:12" s="32" customFormat="1">
      <c r="A15" s="46" t="s">
        <v>108</v>
      </c>
      <c r="B15" s="47" t="s">
        <v>109</v>
      </c>
      <c r="C15" s="48"/>
      <c r="D15" s="48">
        <v>0</v>
      </c>
      <c r="E15" s="48">
        <f t="shared" ref="E15:H15" si="0">E14</f>
        <v>197444018</v>
      </c>
      <c r="F15" s="48">
        <f t="shared" si="0"/>
        <v>0</v>
      </c>
      <c r="G15" s="48">
        <f t="shared" si="0"/>
        <v>197444018</v>
      </c>
      <c r="H15" s="48">
        <f t="shared" si="0"/>
        <v>0</v>
      </c>
    </row>
    <row r="16" spans="1:12" s="32" customFormat="1">
      <c r="A16" s="49" t="s">
        <v>110</v>
      </c>
      <c r="B16" s="42" t="s">
        <v>111</v>
      </c>
      <c r="C16" s="43"/>
      <c r="D16" s="43"/>
      <c r="E16" s="43">
        <f t="array" ref="E16">SUM(IF(A16=KHN,TH))</f>
        <v>33000000</v>
      </c>
      <c r="F16" s="43">
        <f t="array" ref="F16">SUM(IF(A16=KHC,TH))</f>
        <v>33000000</v>
      </c>
      <c r="G16" s="44">
        <f t="shared" ref="G16:G22" si="1">MAX(C16+E16-D16-F16,0)</f>
        <v>0</v>
      </c>
      <c r="H16" s="44">
        <f t="shared" ref="H16:H22" si="2">MAX(D16+F16-E16-C16,0)</f>
        <v>0</v>
      </c>
    </row>
    <row r="17" spans="1:9" s="32" customFormat="1">
      <c r="A17" s="46" t="s">
        <v>112</v>
      </c>
      <c r="B17" s="47" t="s">
        <v>113</v>
      </c>
      <c r="C17" s="48"/>
      <c r="D17" s="48"/>
      <c r="E17" s="48">
        <f>E16</f>
        <v>33000000</v>
      </c>
      <c r="F17" s="48">
        <f>F16</f>
        <v>33000000</v>
      </c>
      <c r="G17" s="48">
        <f t="shared" si="1"/>
        <v>0</v>
      </c>
      <c r="H17" s="48">
        <f t="shared" si="2"/>
        <v>0</v>
      </c>
    </row>
    <row r="18" spans="1:9" s="32" customFormat="1">
      <c r="A18" s="41" t="s">
        <v>214</v>
      </c>
      <c r="B18" s="42" t="s">
        <v>215</v>
      </c>
      <c r="C18" s="43"/>
      <c r="D18" s="43"/>
      <c r="E18" s="43">
        <f t="array" ref="E18">SUM(IF(A18=KHN,TH))</f>
        <v>1984383750</v>
      </c>
      <c r="F18" s="43">
        <f t="array" ref="F18">SUM(IF(A18=KHC,TH))</f>
        <v>0</v>
      </c>
      <c r="G18" s="44">
        <f t="shared" si="1"/>
        <v>1984383750</v>
      </c>
      <c r="H18" s="44">
        <f t="shared" si="2"/>
        <v>0</v>
      </c>
    </row>
    <row r="19" spans="1:9" s="32" customFormat="1">
      <c r="A19" s="50" t="s">
        <v>298</v>
      </c>
      <c r="B19" s="47" t="s">
        <v>216</v>
      </c>
      <c r="C19" s="48"/>
      <c r="D19" s="48"/>
      <c r="E19" s="48">
        <f>E18</f>
        <v>1984383750</v>
      </c>
      <c r="F19" s="48">
        <f>F18</f>
        <v>0</v>
      </c>
      <c r="G19" s="48">
        <f t="shared" si="1"/>
        <v>1984383750</v>
      </c>
      <c r="H19" s="48">
        <f t="shared" si="2"/>
        <v>0</v>
      </c>
    </row>
    <row r="20" spans="1:9" s="32" customFormat="1">
      <c r="A20" s="46" t="s">
        <v>9</v>
      </c>
      <c r="B20" s="47" t="s">
        <v>114</v>
      </c>
      <c r="C20" s="48">
        <v>850000000</v>
      </c>
      <c r="D20" s="48"/>
      <c r="E20" s="93">
        <f t="array" ref="E20">SUM(IF(A20=KHN,TH))</f>
        <v>7827334604</v>
      </c>
      <c r="F20" s="93">
        <f t="array" ref="F20">SUM(IF(A20=KHC,TH))</f>
        <v>2164724604</v>
      </c>
      <c r="G20" s="48">
        <f t="shared" si="1"/>
        <v>6512610000</v>
      </c>
      <c r="H20" s="48">
        <f t="shared" si="2"/>
        <v>0</v>
      </c>
    </row>
    <row r="21" spans="1:9" s="32" customFormat="1">
      <c r="A21" s="49" t="s">
        <v>115</v>
      </c>
      <c r="B21" s="42" t="s">
        <v>116</v>
      </c>
      <c r="C21" s="43"/>
      <c r="D21" s="43"/>
      <c r="E21" s="43">
        <f t="array" ref="E21">SUM(IF(A21=KHN,TH))</f>
        <v>0</v>
      </c>
      <c r="F21" s="43">
        <f t="array" ref="F21">SUM(IF(A21=KHC,TH))</f>
        <v>0</v>
      </c>
      <c r="G21" s="43">
        <f t="shared" si="1"/>
        <v>0</v>
      </c>
      <c r="H21" s="43">
        <f t="shared" si="2"/>
        <v>0</v>
      </c>
      <c r="I21" s="32">
        <f t="shared" ref="I21:I24" si="3">E21-F21</f>
        <v>0</v>
      </c>
    </row>
    <row r="22" spans="1:9" s="32" customFormat="1">
      <c r="A22" s="52" t="s">
        <v>117</v>
      </c>
      <c r="B22" s="53" t="s">
        <v>118</v>
      </c>
      <c r="C22" s="51"/>
      <c r="D22" s="51"/>
      <c r="E22" s="51">
        <f t="array" ref="E22">SUM(IF(A22=KHN,TH))</f>
        <v>1500000</v>
      </c>
      <c r="F22" s="51">
        <f t="array" ref="F22">SUM(IF(A22=KHC,TH))</f>
        <v>1500000</v>
      </c>
      <c r="G22" s="51">
        <f t="shared" si="1"/>
        <v>0</v>
      </c>
      <c r="H22" s="51">
        <f t="shared" si="2"/>
        <v>0</v>
      </c>
      <c r="I22" s="32">
        <f t="shared" si="3"/>
        <v>0</v>
      </c>
    </row>
    <row r="23" spans="1:9" s="32" customFormat="1">
      <c r="A23" s="49" t="s">
        <v>24</v>
      </c>
      <c r="B23" s="42" t="s">
        <v>119</v>
      </c>
      <c r="C23" s="43"/>
      <c r="D23" s="43"/>
      <c r="E23" s="43">
        <f>E22</f>
        <v>1500000</v>
      </c>
      <c r="F23" s="43">
        <f>F22</f>
        <v>1500000</v>
      </c>
      <c r="G23" s="43">
        <f>G22</f>
        <v>0</v>
      </c>
      <c r="H23" s="43">
        <f>H22</f>
        <v>0</v>
      </c>
      <c r="I23" s="32">
        <f t="shared" si="3"/>
        <v>0</v>
      </c>
    </row>
    <row r="24" spans="1:9" s="32" customFormat="1">
      <c r="A24" s="46" t="s">
        <v>120</v>
      </c>
      <c r="B24" s="47" t="s">
        <v>121</v>
      </c>
      <c r="C24" s="48"/>
      <c r="D24" s="48"/>
      <c r="E24" s="48">
        <f>E21+E23</f>
        <v>1500000</v>
      </c>
      <c r="F24" s="48">
        <f>F21+F23</f>
        <v>1500000</v>
      </c>
      <c r="G24" s="48">
        <f>G21+G23</f>
        <v>0</v>
      </c>
      <c r="H24" s="48">
        <f>H21+H23</f>
        <v>0</v>
      </c>
      <c r="I24" s="32">
        <f t="shared" si="3"/>
        <v>0</v>
      </c>
    </row>
    <row r="25" spans="1:9" s="32" customFormat="1">
      <c r="A25" s="49" t="s">
        <v>23</v>
      </c>
      <c r="B25" s="42" t="s">
        <v>122</v>
      </c>
      <c r="C25" s="43"/>
      <c r="D25" s="43"/>
      <c r="E25" s="43">
        <f t="array" ref="E25">SUM(IF(A25=KHN,TH))</f>
        <v>646000000</v>
      </c>
      <c r="F25" s="43">
        <f t="array" ref="F25">SUM(IF(A25=KHC,TH))</f>
        <v>646000000</v>
      </c>
      <c r="G25" s="43">
        <f>MAX(C25+E25-D25-F25,0)</f>
        <v>0</v>
      </c>
      <c r="H25" s="43">
        <f>MAX(D25+F25-E25-C25,0)</f>
        <v>0</v>
      </c>
    </row>
    <row r="26" spans="1:9" s="32" customFormat="1">
      <c r="A26" s="46" t="s">
        <v>123</v>
      </c>
      <c r="B26" s="47" t="s">
        <v>124</v>
      </c>
      <c r="C26" s="48"/>
      <c r="D26" s="48"/>
      <c r="E26" s="48">
        <f>E25</f>
        <v>646000000</v>
      </c>
      <c r="F26" s="48">
        <f>F25</f>
        <v>646000000</v>
      </c>
      <c r="G26" s="48">
        <f>G25</f>
        <v>0</v>
      </c>
      <c r="H26" s="48">
        <f>H25</f>
        <v>0</v>
      </c>
    </row>
    <row r="27" spans="1:9" s="32" customFormat="1">
      <c r="A27" s="41" t="s">
        <v>125</v>
      </c>
      <c r="B27" s="42" t="s">
        <v>126</v>
      </c>
      <c r="C27" s="43"/>
      <c r="D27" s="43"/>
      <c r="E27" s="43">
        <f t="array" ref="E27">SUM(IF(A27=KHN,TH))</f>
        <v>0</v>
      </c>
      <c r="F27" s="43">
        <f t="array" ref="F27">SUM(IF(A27=KHC,TH))</f>
        <v>7100000000</v>
      </c>
      <c r="G27" s="44">
        <f>MAX(C27+E27-D27-F27,0)</f>
        <v>0</v>
      </c>
      <c r="H27" s="44">
        <f>MAX(D27+F27-E27-C27,0)</f>
        <v>7100000000</v>
      </c>
    </row>
    <row r="28" spans="1:9" s="32" customFormat="1">
      <c r="A28" s="50" t="s">
        <v>65</v>
      </c>
      <c r="B28" s="47" t="s">
        <v>127</v>
      </c>
      <c r="C28" s="48"/>
      <c r="D28" s="48"/>
      <c r="E28" s="48">
        <f>E27</f>
        <v>0</v>
      </c>
      <c r="F28" s="48">
        <f>F27</f>
        <v>7100000000</v>
      </c>
      <c r="G28" s="48">
        <f>G27</f>
        <v>0</v>
      </c>
      <c r="H28" s="48">
        <f>H27</f>
        <v>7100000000</v>
      </c>
    </row>
    <row r="29" spans="1:9" s="32" customFormat="1">
      <c r="A29" s="49" t="s">
        <v>35</v>
      </c>
      <c r="B29" s="42" t="s">
        <v>128</v>
      </c>
      <c r="C29" s="43"/>
      <c r="D29" s="43">
        <v>4000000000</v>
      </c>
      <c r="E29" s="43">
        <f t="array" ref="E29">SUM(IF(A29=KHN,TH))</f>
        <v>0</v>
      </c>
      <c r="F29" s="43">
        <f t="array" ref="F29">SUM(IF(A29=KHC,TH))</f>
        <v>0</v>
      </c>
      <c r="G29" s="44">
        <f>MAX(C29+E29-D29-F29,0)</f>
        <v>0</v>
      </c>
      <c r="H29" s="44">
        <f>MAX(D29+F29-E29-C29,0)</f>
        <v>4000000000</v>
      </c>
    </row>
    <row r="30" spans="1:9" s="32" customFormat="1">
      <c r="A30" s="46" t="s">
        <v>129</v>
      </c>
      <c r="B30" s="47" t="s">
        <v>130</v>
      </c>
      <c r="C30" s="48"/>
      <c r="D30" s="48">
        <v>4000000000</v>
      </c>
      <c r="E30" s="48">
        <f>E29</f>
        <v>0</v>
      </c>
      <c r="F30" s="48">
        <f>F29</f>
        <v>0</v>
      </c>
      <c r="G30" s="48">
        <f>MAX(C30+E30-D30-F30,0)</f>
        <v>0</v>
      </c>
      <c r="H30" s="48">
        <f>MAX(D30+F30-E30-C30,0)</f>
        <v>4000000000</v>
      </c>
    </row>
    <row r="31" spans="1:9" s="32" customFormat="1">
      <c r="A31" s="41" t="s">
        <v>131</v>
      </c>
      <c r="B31" s="42" t="s">
        <v>132</v>
      </c>
      <c r="C31" s="43">
        <v>122686800</v>
      </c>
      <c r="D31" s="43"/>
      <c r="E31" s="43">
        <f t="array" ref="E31">SUM(IF(A31=KHN,TH))</f>
        <v>2041200</v>
      </c>
      <c r="F31" s="43">
        <f t="array" ref="F31">SUM(IF(A31=KHC,TH))</f>
        <v>0</v>
      </c>
      <c r="G31" s="44">
        <f>MAX(C31+E31-D31-F31,0)</f>
        <v>124728000</v>
      </c>
      <c r="H31" s="44">
        <f>MAX(D31+F31-E31-C31,0)</f>
        <v>0</v>
      </c>
    </row>
    <row r="32" spans="1:9" s="32" customFormat="1">
      <c r="A32" s="49" t="s">
        <v>133</v>
      </c>
      <c r="B32" s="42" t="s">
        <v>134</v>
      </c>
      <c r="C32" s="43">
        <v>2041200</v>
      </c>
      <c r="D32" s="43"/>
      <c r="E32" s="43">
        <f t="array" ref="E32">SUM(IF(A32=TH!$J$10:$J$234,TH!$I$10:$I$234))</f>
        <v>99608749</v>
      </c>
      <c r="F32" s="43">
        <f t="array" ref="F32">SUM(IF(A32=TH!$K$10:$K$234,TH!$I$10:$I$234))</f>
        <v>2788444</v>
      </c>
      <c r="G32" s="43">
        <f>MAX(C32+E32-D32-F32,0)</f>
        <v>98861505</v>
      </c>
      <c r="H32" s="43">
        <f>MAX(D32+F32-E32-C32,0)</f>
        <v>0</v>
      </c>
    </row>
    <row r="33" spans="1:9" s="32" customFormat="1">
      <c r="A33" s="46" t="s">
        <v>135</v>
      </c>
      <c r="B33" s="47" t="s">
        <v>136</v>
      </c>
      <c r="C33" s="48">
        <v>124728000</v>
      </c>
      <c r="D33" s="48">
        <v>0</v>
      </c>
      <c r="E33" s="48">
        <f>E32+E31</f>
        <v>101649949</v>
      </c>
      <c r="F33" s="48">
        <f>F32+F31</f>
        <v>2788444</v>
      </c>
      <c r="G33" s="48">
        <f>G32+G31</f>
        <v>223589505</v>
      </c>
      <c r="H33" s="48">
        <f>H32+H31</f>
        <v>0</v>
      </c>
    </row>
    <row r="34" spans="1:9" s="32" customFormat="1">
      <c r="A34" s="46" t="s">
        <v>67</v>
      </c>
      <c r="B34" s="47" t="s">
        <v>137</v>
      </c>
      <c r="C34" s="48"/>
      <c r="D34" s="48"/>
      <c r="E34" s="93">
        <f t="array" ref="E34">SUM(IF(A34=KHN,TH))</f>
        <v>747244</v>
      </c>
      <c r="F34" s="93">
        <f t="array" ref="F34">SUM(IF(A34=KHC,TH))</f>
        <v>747244</v>
      </c>
      <c r="G34" s="48"/>
      <c r="H34" s="48"/>
      <c r="I34" s="32">
        <f t="shared" ref="I34:I40" si="4">E34-F34</f>
        <v>0</v>
      </c>
    </row>
    <row r="35" spans="1:9" s="32" customFormat="1" ht="12.75" customHeight="1">
      <c r="A35" s="46" t="s">
        <v>138</v>
      </c>
      <c r="B35" s="47" t="s">
        <v>139</v>
      </c>
      <c r="C35" s="48"/>
      <c r="D35" s="48"/>
      <c r="E35" s="93">
        <f t="array" ref="E35">SUM(IF(A35=KHN,TH))</f>
        <v>108052291</v>
      </c>
      <c r="F35" s="93">
        <f t="array" ref="F35">SUM(IF(A35=KHC,TH))</f>
        <v>108052291</v>
      </c>
      <c r="G35" s="48"/>
      <c r="H35" s="48"/>
      <c r="I35" s="32">
        <f t="shared" si="4"/>
        <v>0</v>
      </c>
    </row>
    <row r="36" spans="1:9" s="32" customFormat="1" ht="12.75" customHeight="1">
      <c r="A36" s="46" t="s">
        <v>140</v>
      </c>
      <c r="B36" s="47" t="s">
        <v>141</v>
      </c>
      <c r="C36" s="48"/>
      <c r="D36" s="48"/>
      <c r="E36" s="93">
        <f t="array" ref="E36">SUM(IF(A36=KHN,TH))</f>
        <v>99608749</v>
      </c>
      <c r="F36" s="93">
        <f t="array" ref="F36">SUM(IF(A36=KHC,TH))</f>
        <v>99608749</v>
      </c>
      <c r="G36" s="48"/>
      <c r="H36" s="48"/>
      <c r="I36" s="32">
        <f t="shared" si="4"/>
        <v>0</v>
      </c>
    </row>
    <row r="37" spans="1:9" s="32" customFormat="1" ht="12.75" customHeight="1">
      <c r="A37" s="50" t="s">
        <v>142</v>
      </c>
      <c r="B37" s="47" t="s">
        <v>143</v>
      </c>
      <c r="C37" s="48"/>
      <c r="D37" s="48"/>
      <c r="E37" s="93">
        <f t="array" ref="E37">SUM(IF(A37=KHN,TH))</f>
        <v>0</v>
      </c>
      <c r="F37" s="93">
        <f t="array" ref="F37">SUM(IF(A37=KHC,TH))</f>
        <v>0</v>
      </c>
      <c r="G37" s="48"/>
      <c r="H37" s="48"/>
      <c r="I37" s="32">
        <f t="shared" si="4"/>
        <v>0</v>
      </c>
    </row>
    <row r="38" spans="1:9" s="32" customFormat="1" ht="12.75" customHeight="1">
      <c r="A38" s="46" t="s">
        <v>144</v>
      </c>
      <c r="B38" s="47" t="s">
        <v>145</v>
      </c>
      <c r="C38" s="48"/>
      <c r="D38" s="48"/>
      <c r="E38" s="93">
        <f t="array" ref="E38">SUM(IF(A38=KHN,TH))</f>
        <v>0</v>
      </c>
      <c r="F38" s="93">
        <f t="array" ref="F38">SUM(IF(A38=KHC,TH))</f>
        <v>0</v>
      </c>
      <c r="G38" s="48"/>
      <c r="H38" s="48"/>
      <c r="I38" s="32">
        <f t="shared" si="4"/>
        <v>0</v>
      </c>
    </row>
    <row r="39" spans="1:9" s="32" customFormat="1" ht="12.75" customHeight="1">
      <c r="A39" s="50" t="s">
        <v>146</v>
      </c>
      <c r="B39" s="47" t="s">
        <v>147</v>
      </c>
      <c r="C39" s="48"/>
      <c r="D39" s="48"/>
      <c r="E39" s="93">
        <f t="array" ref="E39">SUM(IF(A39=KHN,TH))</f>
        <v>0</v>
      </c>
      <c r="F39" s="93">
        <f t="array" ref="F39">SUM(IF(A39=KHC,TH))</f>
        <v>0</v>
      </c>
      <c r="G39" s="48"/>
      <c r="H39" s="48"/>
      <c r="I39" s="32">
        <f t="shared" si="4"/>
        <v>0</v>
      </c>
    </row>
    <row r="40" spans="1:9" s="32" customFormat="1">
      <c r="A40" s="46" t="s">
        <v>148</v>
      </c>
      <c r="B40" s="47" t="s">
        <v>149</v>
      </c>
      <c r="C40" s="48"/>
      <c r="D40" s="48"/>
      <c r="E40" s="94">
        <f t="array" ref="E40">SUM(IF(A40=KHN,TH))</f>
        <v>99608749</v>
      </c>
      <c r="F40" s="94">
        <f t="array" ref="F40">SUM(IF(A40=TH!$K$10:$K$234,TH!$I$10:$I$234))</f>
        <v>99608749</v>
      </c>
      <c r="G40" s="48"/>
      <c r="H40" s="48"/>
      <c r="I40" s="32">
        <f t="shared" si="4"/>
        <v>0</v>
      </c>
    </row>
    <row r="41" spans="1:9" s="32" customFormat="1">
      <c r="A41" s="54" t="s">
        <v>150</v>
      </c>
      <c r="B41" s="54"/>
      <c r="C41" s="54">
        <f>C11+C13+C15+C17+C20+C24+C26+C28+C30+C33+C34+C35+C36+C37+C38+C39+C40+C19</f>
        <v>4000000000</v>
      </c>
      <c r="D41" s="54">
        <f t="shared" ref="D41:H41" si="5">D11+D13+D15+D17+D20+D24+D26+D28+D30+D33+D34+D35+D36+D37+D38+D39+D40+D19</f>
        <v>4000000000</v>
      </c>
      <c r="E41" s="54">
        <f t="shared" si="5"/>
        <v>19574276598</v>
      </c>
      <c r="F41" s="54">
        <f t="shared" si="5"/>
        <v>19574276598</v>
      </c>
      <c r="G41" s="54">
        <f t="shared" si="5"/>
        <v>11100000000</v>
      </c>
      <c r="H41" s="54">
        <f t="shared" si="5"/>
        <v>11100000000</v>
      </c>
    </row>
    <row r="42" spans="1:9">
      <c r="E42" s="55"/>
      <c r="F42" s="56"/>
    </row>
    <row r="43" spans="1:9">
      <c r="E43" s="56">
        <f>E41-F41</f>
        <v>0</v>
      </c>
      <c r="H43" s="56">
        <f>G41-H41</f>
        <v>0</v>
      </c>
    </row>
    <row r="44" spans="1:9">
      <c r="E44" s="57"/>
      <c r="F44" s="57"/>
    </row>
    <row r="45" spans="1:9">
      <c r="E45" s="57"/>
      <c r="F45" s="57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X234"/>
  <sheetViews>
    <sheetView topLeftCell="B7" workbookViewId="0">
      <pane ySplit="3" topLeftCell="A10" activePane="bottomLeft" state="frozen"/>
      <selection activeCell="A7" sqref="A7"/>
      <selection pane="bottomLeft" activeCell="F221" sqref="F221"/>
    </sheetView>
  </sheetViews>
  <sheetFormatPr defaultRowHeight="12.75"/>
  <cols>
    <col min="1" max="1" width="4.5703125" style="156" hidden="1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10" style="454" customWidth="1"/>
    <col min="8" max="8" width="41.42578125" style="100" customWidth="1"/>
    <col min="9" max="9" width="13.140625" customWidth="1"/>
    <col min="10" max="11" width="7" customWidth="1"/>
    <col min="12" max="12" width="4.42578125" hidden="1" customWidth="1"/>
    <col min="13" max="21" width="2.7109375" hidden="1" customWidth="1"/>
    <col min="22" max="23" width="4.42578125" hidden="1" customWidth="1"/>
    <col min="24" max="24" width="4.140625" hidden="1" customWidth="1"/>
  </cols>
  <sheetData>
    <row r="1" spans="1:24">
      <c r="B1" s="58"/>
      <c r="C1" s="58" t="s">
        <v>161</v>
      </c>
      <c r="D1" s="59"/>
      <c r="E1" s="59"/>
      <c r="F1" s="60"/>
      <c r="G1" s="59"/>
      <c r="H1" s="98"/>
      <c r="I1" s="74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</row>
    <row r="2" spans="1:24">
      <c r="B2" s="58"/>
      <c r="C2" s="58" t="s">
        <v>162</v>
      </c>
      <c r="D2" s="59"/>
      <c r="E2" s="59"/>
      <c r="F2" s="59"/>
      <c r="G2" s="59"/>
      <c r="H2" s="99"/>
      <c r="I2" s="74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</row>
    <row r="3" spans="1:24">
      <c r="B3" s="59"/>
      <c r="C3" s="59"/>
      <c r="D3" s="59"/>
      <c r="E3" s="59"/>
      <c r="F3" s="59"/>
      <c r="G3" s="59"/>
      <c r="H3" s="99"/>
      <c r="I3" s="71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</row>
    <row r="4" spans="1:24" ht="22.5">
      <c r="B4" s="74"/>
      <c r="C4" s="484" t="s">
        <v>151</v>
      </c>
      <c r="D4" s="484"/>
      <c r="E4" s="484"/>
      <c r="F4" s="484"/>
      <c r="G4" s="484"/>
      <c r="H4" s="484"/>
      <c r="I4" s="484"/>
      <c r="J4" s="484"/>
      <c r="K4" s="484"/>
    </row>
    <row r="5" spans="1:24" ht="14.25">
      <c r="B5" s="74"/>
      <c r="C5" s="485"/>
      <c r="D5" s="485"/>
      <c r="E5" s="485"/>
      <c r="F5" s="485"/>
      <c r="G5" s="485"/>
      <c r="H5" s="485"/>
      <c r="I5" s="485"/>
      <c r="J5" s="485"/>
      <c r="K5" s="485"/>
    </row>
    <row r="6" spans="1:24">
      <c r="B6" s="74"/>
      <c r="C6" s="74"/>
      <c r="D6" s="74"/>
      <c r="E6" s="74"/>
      <c r="F6" s="74"/>
      <c r="G6" s="71"/>
      <c r="H6" s="78"/>
      <c r="I6" s="74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1:24" ht="12.75" customHeight="1">
      <c r="A7" s="469" t="s">
        <v>189</v>
      </c>
      <c r="B7" s="471" t="s">
        <v>163</v>
      </c>
      <c r="C7" s="486" t="s">
        <v>30</v>
      </c>
      <c r="D7" s="487" t="s">
        <v>1</v>
      </c>
      <c r="E7" s="488"/>
      <c r="F7" s="486" t="s">
        <v>0</v>
      </c>
      <c r="G7" s="489" t="s">
        <v>187</v>
      </c>
      <c r="H7" s="473" t="s">
        <v>85</v>
      </c>
      <c r="I7" s="486" t="s">
        <v>152</v>
      </c>
      <c r="J7" s="475" t="s">
        <v>153</v>
      </c>
      <c r="K7" s="475"/>
      <c r="L7" s="474" t="s">
        <v>9</v>
      </c>
      <c r="M7" s="477" t="s">
        <v>101</v>
      </c>
      <c r="N7" s="478"/>
      <c r="O7" s="479"/>
      <c r="P7" s="477" t="s">
        <v>34</v>
      </c>
      <c r="Q7" s="478"/>
      <c r="R7" s="479"/>
      <c r="S7" s="477" t="s">
        <v>10</v>
      </c>
      <c r="T7" s="478"/>
      <c r="U7" s="479"/>
      <c r="V7" s="474" t="s">
        <v>125</v>
      </c>
      <c r="W7" s="476" t="str">
        <f>CTTK!$E$7</f>
        <v>4212</v>
      </c>
      <c r="X7" s="483" t="s">
        <v>297</v>
      </c>
    </row>
    <row r="8" spans="1:24" ht="25.5">
      <c r="A8" s="470"/>
      <c r="B8" s="472"/>
      <c r="C8" s="486"/>
      <c r="D8" s="72" t="s">
        <v>19</v>
      </c>
      <c r="E8" s="70" t="s">
        <v>42</v>
      </c>
      <c r="F8" s="486"/>
      <c r="G8" s="490"/>
      <c r="H8" s="473"/>
      <c r="I8" s="486"/>
      <c r="J8" s="73" t="s">
        <v>32</v>
      </c>
      <c r="K8" s="73" t="s">
        <v>33</v>
      </c>
      <c r="L8" s="475"/>
      <c r="M8" s="480"/>
      <c r="N8" s="481"/>
      <c r="O8" s="482"/>
      <c r="P8" s="480"/>
      <c r="Q8" s="481"/>
      <c r="R8" s="482"/>
      <c r="S8" s="480"/>
      <c r="T8" s="481"/>
      <c r="U8" s="482"/>
      <c r="V8" s="475"/>
      <c r="W8" s="475"/>
      <c r="X8" s="475"/>
    </row>
    <row r="9" spans="1:24">
      <c r="A9" s="447">
        <v>1</v>
      </c>
      <c r="B9" s="157">
        <v>2</v>
      </c>
      <c r="C9" s="157">
        <v>3</v>
      </c>
      <c r="D9" s="157">
        <v>4</v>
      </c>
      <c r="E9" s="157">
        <v>5</v>
      </c>
      <c r="F9" s="157">
        <v>6</v>
      </c>
      <c r="G9" s="450">
        <v>7</v>
      </c>
      <c r="H9" s="157">
        <v>8</v>
      </c>
      <c r="I9" s="157">
        <v>9</v>
      </c>
      <c r="J9" s="157">
        <v>10</v>
      </c>
      <c r="K9" s="157">
        <v>11</v>
      </c>
      <c r="L9" s="157">
        <v>12</v>
      </c>
      <c r="M9" s="157">
        <v>13</v>
      </c>
      <c r="N9" s="157">
        <v>14</v>
      </c>
      <c r="O9" s="157">
        <v>15</v>
      </c>
      <c r="P9" s="157">
        <v>16</v>
      </c>
      <c r="Q9" s="157">
        <v>17</v>
      </c>
      <c r="R9" s="157">
        <v>18</v>
      </c>
      <c r="S9" s="157">
        <v>19</v>
      </c>
      <c r="T9" s="157">
        <v>20</v>
      </c>
      <c r="U9" s="157">
        <v>21</v>
      </c>
      <c r="V9" s="157">
        <v>22</v>
      </c>
      <c r="W9" s="157">
        <v>23</v>
      </c>
      <c r="X9" s="157">
        <v>24</v>
      </c>
    </row>
    <row r="10" spans="1:24" s="77" customFormat="1" ht="15.75" customHeight="1">
      <c r="A10" s="158" t="str">
        <f>IF(B10&lt;&gt;"",IF(AND(B10&gt;=_TM1,B10&lt;=_TM2,OR(TH!J10="1111",TH!K10="1111")),TH!D10,""),"")</f>
        <v/>
      </c>
      <c r="B10" s="63">
        <f>IF(C10&lt;&gt;"",MONTH(C10),"")</f>
        <v>12</v>
      </c>
      <c r="C10" s="86">
        <v>42369</v>
      </c>
      <c r="D10" s="86" t="s">
        <v>154</v>
      </c>
      <c r="E10" s="86">
        <v>42369</v>
      </c>
      <c r="F10" s="87" t="s">
        <v>157</v>
      </c>
      <c r="G10" s="451"/>
      <c r="H10" s="88"/>
      <c r="I10" s="89">
        <f>MAX(SUMIF(KHN,"911",TH)-SUMIF(KHC,"911",TH),SUMIF(KHC,"911",TH)-SUMIF(KHN,"911",TH))</f>
        <v>99608749</v>
      </c>
      <c r="J10" s="90" t="s">
        <v>133</v>
      </c>
      <c r="K10" s="90" t="s">
        <v>148</v>
      </c>
      <c r="L10" s="90" t="str">
        <f>IF(AND('331-CT'!$E$7=TH!H10,OR(J10="331",K10="331")),"x","")</f>
        <v/>
      </c>
      <c r="M10" s="90" t="str">
        <f>IF(AND($B10&gt;='1111'!$N$10,$B10&lt;='1111'!$O$10,OR($J10=$M$7,$K10=$M$7)),"x","")</f>
        <v/>
      </c>
      <c r="N10" s="90" t="str">
        <f>IF(AND($J10=$M$7,$B10&lt;'1111'!$N$10),"x","")</f>
        <v/>
      </c>
      <c r="O10" s="90" t="str">
        <f>IF(AND($K10=$M$7,$B10&lt;'1111'!$N$10),"x","")</f>
        <v/>
      </c>
      <c r="P10" s="90" t="str">
        <f>IF(AND($B10&gt;='1121'!$N$9,$B10&lt;='1121'!$O$9,OR($J10=$P$7,$K10=$P$7)),"x","")</f>
        <v/>
      </c>
      <c r="Q10" s="90" t="str">
        <f>IF(AND($J10=$P$7,$B10&lt;'1121'!$N$9),"x","")</f>
        <v/>
      </c>
      <c r="R10" s="90" t="str">
        <f>IF(AND($K10=$P$7,$B10&lt;'1121'!$N$9),"x","")</f>
        <v/>
      </c>
      <c r="S10" s="90" t="str">
        <f>IF(AND($B10&gt;='1331'!$I$9,$B10&lt;='1331'!$J$9,OR($J10=$S$7,$K10=$S$7)),"x","")</f>
        <v/>
      </c>
      <c r="T10" s="90" t="str">
        <f>IF(AND($J10=$S$7,$B10&lt;'1331'!$I$9),"x","")</f>
        <v/>
      </c>
      <c r="U10" s="90" t="str">
        <f>IF(AND($K10=$S$7,$B10&lt;'1331'!$I$9),"x","")</f>
        <v/>
      </c>
      <c r="V10" s="90" t="str">
        <f>IF(AND('3411-CT'!$E$9=TH!H10,OR(TH!J10=TH!$V$7,K10=TH!$V$7)),"x","")</f>
        <v/>
      </c>
      <c r="W10" s="90" t="str">
        <f>IF(OR(TH!J10=TH!$W$7,K10=TH!$W$7),"x","")</f>
        <v>x</v>
      </c>
      <c r="X10" s="90"/>
    </row>
    <row r="11" spans="1:24" s="77" customFormat="1" ht="15.75" customHeight="1">
      <c r="A11" s="158" t="str">
        <f>IF(B11&lt;&gt;"",IF(AND(B11&gt;=_TM1,B11&lt;=_TM2,OR(TH!J11="1111",TH!K11="1111")),TH!D11,""),"")</f>
        <v/>
      </c>
      <c r="B11" s="63">
        <f>IF(C11&lt;&gt;"",MONTH(C11),"")</f>
        <v>12</v>
      </c>
      <c r="C11" s="86">
        <v>42369</v>
      </c>
      <c r="D11" s="86" t="s">
        <v>154</v>
      </c>
      <c r="E11" s="86">
        <v>42369</v>
      </c>
      <c r="F11" s="87" t="s">
        <v>155</v>
      </c>
      <c r="G11" s="451"/>
      <c r="H11" s="88"/>
      <c r="I11" s="89">
        <f>SUMIF(KHN,"635",TH)</f>
        <v>108052291</v>
      </c>
      <c r="J11" s="95" t="s">
        <v>214</v>
      </c>
      <c r="K11" s="90" t="s">
        <v>138</v>
      </c>
      <c r="L11" s="90" t="str">
        <f>IF(AND('331-CT'!$E$7=TH!H11,OR(J11="331",K11="331")),"x","")</f>
        <v/>
      </c>
      <c r="M11" s="90" t="str">
        <f>IF(AND($B11&gt;='1111'!$N$10,$B11&lt;='1111'!$O$10,OR($J11=$M$7,$K11=$M$7)),"x","")</f>
        <v/>
      </c>
      <c r="N11" s="90" t="str">
        <f>IF(AND($J11=$M$7,$B11&lt;'1111'!$N$10),"x","")</f>
        <v/>
      </c>
      <c r="O11" s="90" t="str">
        <f>IF(AND($K11=$M$7,$B11&lt;'1111'!$N$10),"x","")</f>
        <v/>
      </c>
      <c r="P11" s="90" t="str">
        <f>IF(AND($B11&gt;='1121'!$N$9,$B11&lt;='1121'!$O$9,OR($J11=$P$7,$K11=$P$7)),"x","")</f>
        <v/>
      </c>
      <c r="Q11" s="90" t="str">
        <f>IF(AND($J11=$P$7,$B11&lt;'1121'!$N$9),"x","")</f>
        <v/>
      </c>
      <c r="R11" s="90" t="str">
        <f>IF(AND($K11=$P$7,$B11&lt;'1121'!$N$9),"x","")</f>
        <v/>
      </c>
      <c r="S11" s="90" t="str">
        <f>IF(AND($B11&gt;='1331'!$I$9,$B11&lt;='1331'!$J$9,OR($J11=$S$7,$K11=$S$7)),"x","")</f>
        <v/>
      </c>
      <c r="T11" s="90" t="str">
        <f>IF(AND($J11=$S$7,$B11&lt;'1331'!$I$9),"x","")</f>
        <v/>
      </c>
      <c r="U11" s="90" t="str">
        <f>IF(AND($K11=$S$7,$B11&lt;'1331'!$I$9),"x","")</f>
        <v/>
      </c>
      <c r="V11" s="90" t="str">
        <f>IF(AND('3411-CT'!$E$9=TH!H11,OR(TH!J11=TH!$V$7,K11=TH!$V$7)),"x","")</f>
        <v/>
      </c>
      <c r="W11" s="90" t="str">
        <f>IF(OR(TH!J11=TH!$W$7,K11=TH!$W$7),"x","")</f>
        <v/>
      </c>
      <c r="X11" s="90"/>
    </row>
    <row r="12" spans="1:24" s="77" customFormat="1" ht="15.75" customHeight="1">
      <c r="A12" s="158" t="str">
        <f>IF(B12&lt;&gt;"",IF(AND(B12&gt;=_TM1,B12&lt;=_TM2,OR(TH!J12="1111",TH!K12="1111")),TH!D12,""),"")</f>
        <v/>
      </c>
      <c r="B12" s="63">
        <f>IF(C12&lt;&gt;"",MONTH(C12),"")</f>
        <v>12</v>
      </c>
      <c r="C12" s="86">
        <v>42369</v>
      </c>
      <c r="D12" s="86" t="s">
        <v>154</v>
      </c>
      <c r="E12" s="86">
        <v>42369</v>
      </c>
      <c r="F12" s="87" t="s">
        <v>156</v>
      </c>
      <c r="G12" s="451"/>
      <c r="H12" s="88"/>
      <c r="I12" s="89">
        <f>SUMIF(KHN,"642",TH)</f>
        <v>99608749</v>
      </c>
      <c r="J12" s="95" t="s">
        <v>148</v>
      </c>
      <c r="K12" s="90" t="s">
        <v>140</v>
      </c>
      <c r="L12" s="90" t="str">
        <f>IF(AND('331-CT'!$E$7=TH!H12,OR(J12="331",K12="331")),"x","")</f>
        <v/>
      </c>
      <c r="M12" s="90" t="str">
        <f>IF(AND($B12&gt;='1111'!$N$10,$B12&lt;='1111'!$O$10,OR($J12=$M$7,$K12=$M$7)),"x","")</f>
        <v/>
      </c>
      <c r="N12" s="90" t="str">
        <f>IF(AND($J12=$M$7,$B12&lt;'1111'!$N$10),"x","")</f>
        <v/>
      </c>
      <c r="O12" s="90" t="str">
        <f>IF(AND($K12=$M$7,$B12&lt;'1111'!$N$10),"x","")</f>
        <v/>
      </c>
      <c r="P12" s="90" t="str">
        <f>IF(AND($B12&gt;='1121'!$N$9,$B12&lt;='1121'!$O$9,OR($J12=$P$7,$K12=$P$7)),"x","")</f>
        <v/>
      </c>
      <c r="Q12" s="90" t="str">
        <f>IF(AND($J12=$P$7,$B12&lt;'1121'!$N$9),"x","")</f>
        <v/>
      </c>
      <c r="R12" s="90" t="str">
        <f>IF(AND($K12=$P$7,$B12&lt;'1121'!$N$9),"x","")</f>
        <v/>
      </c>
      <c r="S12" s="90" t="str">
        <f>IF(AND($B12&gt;='1331'!$I$9,$B12&lt;='1331'!$J$9,OR($J12=$S$7,$K12=$S$7)),"x","")</f>
        <v/>
      </c>
      <c r="T12" s="90" t="str">
        <f>IF(AND($J12=$S$7,$B12&lt;'1331'!$I$9),"x","")</f>
        <v/>
      </c>
      <c r="U12" s="90" t="str">
        <f>IF(AND($K12=$S$7,$B12&lt;'1331'!$I$9),"x","")</f>
        <v/>
      </c>
      <c r="V12" s="90" t="str">
        <f>IF(AND('3411-CT'!$E$9=TH!H12,OR(TH!J12=TH!$V$7,K12=TH!$V$7)),"x","")</f>
        <v/>
      </c>
      <c r="W12" s="90" t="str">
        <f>IF(OR(TH!J12=TH!$W$7,K12=TH!$W$7),"x","")</f>
        <v/>
      </c>
      <c r="X12" s="90"/>
    </row>
    <row r="13" spans="1:24" s="77" customFormat="1" ht="15.75" customHeight="1">
      <c r="A13" s="158" t="str">
        <f>IF(B13&lt;&gt;"",IF(AND(B13&gt;=_TM1,B13&lt;=_TM2,OR(TH!J13="1111",TH!K13="1111")),TH!D13,""),"")</f>
        <v/>
      </c>
      <c r="B13" s="63">
        <f t="shared" ref="B13:B14" si="0">IF(C13&lt;&gt;"",MONTH(C13),"")</f>
        <v>12</v>
      </c>
      <c r="C13" s="86">
        <v>42369</v>
      </c>
      <c r="D13" s="86" t="s">
        <v>154</v>
      </c>
      <c r="E13" s="86">
        <v>42369</v>
      </c>
      <c r="F13" s="87" t="s">
        <v>158</v>
      </c>
      <c r="G13" s="451"/>
      <c r="H13" s="96"/>
      <c r="I13" s="89">
        <f>SUMIF(KHC,"515",TH)</f>
        <v>747244</v>
      </c>
      <c r="J13" s="90" t="s">
        <v>67</v>
      </c>
      <c r="K13" s="90" t="s">
        <v>133</v>
      </c>
      <c r="L13" s="90" t="str">
        <f>IF(AND('331-CT'!$E$7=TH!H13,OR(J13="331",K13="331")),"x","")</f>
        <v/>
      </c>
      <c r="M13" s="90" t="str">
        <f>IF(AND($B13&gt;='1111'!$N$10,$B13&lt;='1111'!$O$10,OR($J13=$M$7,$K13=$M$7)),"x","")</f>
        <v/>
      </c>
      <c r="N13" s="90" t="str">
        <f>IF(AND($J13=$M$7,$B13&lt;'1111'!$N$10),"x","")</f>
        <v/>
      </c>
      <c r="O13" s="90" t="str">
        <f>IF(AND($K13=$M$7,$B13&lt;'1111'!$N$10),"x","")</f>
        <v/>
      </c>
      <c r="P13" s="90" t="str">
        <f>IF(AND($B13&gt;='1121'!$N$9,$B13&lt;='1121'!$O$9,OR($J13=$P$7,$K13=$P$7)),"x","")</f>
        <v/>
      </c>
      <c r="Q13" s="90" t="str">
        <f>IF(AND($J13=$P$7,$B13&lt;'1121'!$N$9),"x","")</f>
        <v/>
      </c>
      <c r="R13" s="90" t="str">
        <f>IF(AND($K13=$P$7,$B13&lt;'1121'!$N$9),"x","")</f>
        <v/>
      </c>
      <c r="S13" s="90" t="str">
        <f>IF(AND($B13&gt;='1331'!$I$9,$B13&lt;='1331'!$J$9,OR($J13=$S$7,$K13=$S$7)),"x","")</f>
        <v/>
      </c>
      <c r="T13" s="90" t="str">
        <f>IF(AND($J13=$S$7,$B13&lt;'1331'!$I$9),"x","")</f>
        <v/>
      </c>
      <c r="U13" s="90" t="str">
        <f>IF(AND($K13=$S$7,$B13&lt;'1331'!$I$9),"x","")</f>
        <v/>
      </c>
      <c r="V13" s="90" t="str">
        <f>IF(AND('3411-CT'!$E$9=TH!H13,OR(TH!J13=TH!$V$7,K13=TH!$V$7)),"x","")</f>
        <v/>
      </c>
      <c r="W13" s="90" t="str">
        <f>IF(OR(TH!J13=TH!$W$7,K13=TH!$W$7),"x","")</f>
        <v>x</v>
      </c>
      <c r="X13" s="90"/>
    </row>
    <row r="14" spans="1:24" s="77" customFormat="1" ht="15.75" customHeight="1">
      <c r="A14" s="158" t="str">
        <f>IF(B14&lt;&gt;"",IF(AND(B14&gt;=_TM1,B14&lt;=_TM2,OR(TH!J14="1111",TH!K14="1111")),TH!D14,""),"")</f>
        <v/>
      </c>
      <c r="B14" s="63">
        <f t="shared" si="0"/>
        <v>12</v>
      </c>
      <c r="C14" s="86">
        <v>42369</v>
      </c>
      <c r="D14" s="86" t="s">
        <v>154</v>
      </c>
      <c r="E14" s="86">
        <v>42369</v>
      </c>
      <c r="F14" s="87" t="s">
        <v>159</v>
      </c>
      <c r="G14" s="451"/>
      <c r="H14" s="88"/>
      <c r="I14" s="89">
        <f>SUMIF(KHC,"711",TH)</f>
        <v>0</v>
      </c>
      <c r="J14" s="90" t="s">
        <v>142</v>
      </c>
      <c r="K14" s="90" t="s">
        <v>148</v>
      </c>
      <c r="L14" s="90" t="str">
        <f>IF(AND('331-CT'!$E$7=TH!H14,OR(J14="331",K14="331")),"x","")</f>
        <v/>
      </c>
      <c r="M14" s="90" t="str">
        <f>IF(AND($B14&gt;='1111'!$N$10,$B14&lt;='1111'!$O$10,OR($J14=$M$7,$K14=$M$7)),"x","")</f>
        <v/>
      </c>
      <c r="N14" s="90" t="str">
        <f>IF(AND($J14=$M$7,$B14&lt;'1111'!$N$10),"x","")</f>
        <v/>
      </c>
      <c r="O14" s="90" t="str">
        <f>IF(AND($K14=$M$7,$B14&lt;'1111'!$N$10),"x","")</f>
        <v/>
      </c>
      <c r="P14" s="90" t="str">
        <f>IF(AND($B14&gt;='1121'!$N$9,$B14&lt;='1121'!$O$9,OR($J14=$P$7,$K14=$P$7)),"x","")</f>
        <v/>
      </c>
      <c r="Q14" s="90" t="str">
        <f>IF(AND($J14=$P$7,$B14&lt;'1121'!$N$9),"x","")</f>
        <v/>
      </c>
      <c r="R14" s="90" t="str">
        <f>IF(AND($K14=$P$7,$B14&lt;'1121'!$N$9),"x","")</f>
        <v/>
      </c>
      <c r="S14" s="90" t="str">
        <f>IF(AND($B14&gt;='1331'!$I$9,$B14&lt;='1331'!$J$9,OR($J14=$S$7,$K14=$S$7)),"x","")</f>
        <v/>
      </c>
      <c r="T14" s="90" t="str">
        <f>IF(AND($J14=$S$7,$B14&lt;'1331'!$I$9),"x","")</f>
        <v/>
      </c>
      <c r="U14" s="90" t="str">
        <f>IF(AND($K14=$S$7,$B14&lt;'1331'!$I$9),"x","")</f>
        <v/>
      </c>
      <c r="V14" s="90" t="str">
        <f>IF(AND('3411-CT'!$E$9=TH!H14,OR(TH!J14=TH!$V$7,K14=TH!$V$7)),"x","")</f>
        <v/>
      </c>
      <c r="W14" s="90" t="str">
        <f>IF(OR(TH!J14=TH!$W$7,K14=TH!$W$7),"x","")</f>
        <v/>
      </c>
      <c r="X14" s="90"/>
    </row>
    <row r="15" spans="1:24" s="77" customFormat="1" ht="15.75" customHeight="1">
      <c r="A15" s="158" t="str">
        <f>IF(B15&lt;&gt;"",IF(AND(B15&gt;=_TM1,B15&lt;=_TM2,OR(TH!J15="1111",TH!K15="1111")),TH!D15,""),"")</f>
        <v/>
      </c>
      <c r="B15" s="63">
        <f t="shared" ref="B15" si="1">IF(C15&lt;&gt;"",MONTH(C15),"")</f>
        <v>12</v>
      </c>
      <c r="C15" s="86">
        <v>42369</v>
      </c>
      <c r="D15" s="86" t="s">
        <v>154</v>
      </c>
      <c r="E15" s="86">
        <v>42369</v>
      </c>
      <c r="F15" s="87" t="s">
        <v>160</v>
      </c>
      <c r="G15" s="451"/>
      <c r="H15" s="88"/>
      <c r="I15" s="89">
        <f>SUMIF(KHN,"811",TH)</f>
        <v>0</v>
      </c>
      <c r="J15" s="90" t="s">
        <v>148</v>
      </c>
      <c r="K15" s="90" t="s">
        <v>144</v>
      </c>
      <c r="L15" s="90" t="str">
        <f>IF(AND('331-CT'!$E$7=TH!H15,OR(J15="331",K15="331")),"x","")</f>
        <v/>
      </c>
      <c r="M15" s="90" t="str">
        <f>IF(AND($B15&gt;='1111'!$N$10,$B15&lt;='1111'!$O$10,OR($J15=$M$7,$K15=$M$7)),"x","")</f>
        <v/>
      </c>
      <c r="N15" s="90" t="str">
        <f>IF(AND($J15=$M$7,$B15&lt;'1111'!$N$10),"x","")</f>
        <v/>
      </c>
      <c r="O15" s="90" t="str">
        <f>IF(AND($K15=$M$7,$B15&lt;'1111'!$N$10),"x","")</f>
        <v/>
      </c>
      <c r="P15" s="90" t="str">
        <f>IF(AND($B15&gt;='1121'!$N$9,$B15&lt;='1121'!$O$9,OR($J15=$P$7,$K15=$P$7)),"x","")</f>
        <v/>
      </c>
      <c r="Q15" s="90" t="str">
        <f>IF(AND($J15=$P$7,$B15&lt;'1121'!$N$9),"x","")</f>
        <v/>
      </c>
      <c r="R15" s="90" t="str">
        <f>IF(AND($K15=$P$7,$B15&lt;'1121'!$N$9),"x","")</f>
        <v/>
      </c>
      <c r="S15" s="90" t="str">
        <f>IF(AND($B15&gt;='1331'!$I$9,$B15&lt;='1331'!$J$9,OR($J15=$S$7,$K15=$S$7)),"x","")</f>
        <v/>
      </c>
      <c r="T15" s="90" t="str">
        <f>IF(AND($J15=$S$7,$B15&lt;'1331'!$I$9),"x","")</f>
        <v/>
      </c>
      <c r="U15" s="90" t="str">
        <f>IF(AND($K15=$S$7,$B15&lt;'1331'!$I$9),"x","")</f>
        <v/>
      </c>
      <c r="V15" s="90" t="str">
        <f>IF(AND('3411-CT'!$E$9=TH!H15,OR(TH!J15=TH!$V$7,K15=TH!$V$7)),"x","")</f>
        <v/>
      </c>
      <c r="W15" s="90" t="str">
        <f>IF(OR(TH!J15=TH!$W$7,K15=TH!$W$7),"x","")</f>
        <v/>
      </c>
      <c r="X15" s="90"/>
    </row>
    <row r="16" spans="1:24" s="77" customFormat="1" ht="15.75" customHeight="1">
      <c r="A16" s="158" t="str">
        <f>IF(B16&lt;&gt;"",IF(AND(B16&gt;=_TM1,B16&lt;=_TM2,OR(TH!J16="1111",TH!K16="1111")),TH!D16,""),"")</f>
        <v/>
      </c>
      <c r="B16" s="63">
        <f t="shared" ref="B16:B78" si="2">IF(C16&lt;&gt;"",MONTH(C16),"")</f>
        <v>12</v>
      </c>
      <c r="C16" s="86">
        <v>42369</v>
      </c>
      <c r="D16" s="86" t="s">
        <v>154</v>
      </c>
      <c r="E16" s="86">
        <v>42369</v>
      </c>
      <c r="F16" s="87" t="s">
        <v>290</v>
      </c>
      <c r="G16" s="451"/>
      <c r="H16" s="88"/>
      <c r="I16" s="89">
        <f>CDPS!$C$32</f>
        <v>2041200</v>
      </c>
      <c r="J16" s="95" t="s">
        <v>131</v>
      </c>
      <c r="K16" s="90" t="s">
        <v>133</v>
      </c>
      <c r="L16" s="90" t="str">
        <f>IF(AND('331-CT'!$E$7=TH!H16,OR(J16="331",K16="331")),"x","")</f>
        <v/>
      </c>
      <c r="M16" s="90" t="str">
        <f>IF(AND($B16&gt;='1111'!$N$10,$B16&lt;='1111'!$O$10,OR($J16=$M$7,$K16=$M$7)),"x","")</f>
        <v/>
      </c>
      <c r="N16" s="90" t="str">
        <f>IF(AND($J16=$M$7,$B16&lt;'1111'!$N$10),"x","")</f>
        <v/>
      </c>
      <c r="O16" s="90" t="str">
        <f>IF(AND($K16=$M$7,$B16&lt;'1111'!$N$10),"x","")</f>
        <v/>
      </c>
      <c r="P16" s="90" t="str">
        <f>IF(AND($B16&gt;='1121'!$N$9,$B16&lt;='1121'!$O$9,OR($J16=$P$7,$K16=$P$7)),"x","")</f>
        <v/>
      </c>
      <c r="Q16" s="90" t="str">
        <f>IF(AND($J16=$P$7,$B16&lt;'1121'!$N$9),"x","")</f>
        <v/>
      </c>
      <c r="R16" s="90" t="str">
        <f>IF(AND($K16=$P$7,$B16&lt;'1121'!$N$9),"x","")</f>
        <v/>
      </c>
      <c r="S16" s="90" t="str">
        <f>IF(AND($B16&gt;='1331'!$I$9,$B16&lt;='1331'!$J$9,OR($J16=$S$7,$K16=$S$7)),"x","")</f>
        <v/>
      </c>
      <c r="T16" s="90" t="str">
        <f>IF(AND($J16=$S$7,$B16&lt;'1331'!$I$9),"x","")</f>
        <v/>
      </c>
      <c r="U16" s="90" t="str">
        <f>IF(AND($K16=$S$7,$B16&lt;'1331'!$I$9),"x","")</f>
        <v/>
      </c>
      <c r="V16" s="90" t="str">
        <f>IF(AND('3411-CT'!$E$9=TH!H16,OR(TH!J16=TH!$V$7,K16=TH!$V$7)),"x","")</f>
        <v/>
      </c>
      <c r="W16" s="90" t="str">
        <f>IF(OR(TH!J16=TH!$W$7,K16=TH!$W$7),"x","")</f>
        <v>x</v>
      </c>
      <c r="X16" s="90"/>
    </row>
    <row r="17" spans="1:24" s="77" customFormat="1" ht="15.75" customHeight="1">
      <c r="A17" s="158" t="str">
        <f>IF(B17&lt;&gt;"",IF(AND(B17&gt;=_TM1,B17&lt;=_TM2,OR(TH!J17="1111",TH!K17="1111")),TH!D17,""),"")</f>
        <v/>
      </c>
      <c r="B17" s="63">
        <f t="shared" si="2"/>
        <v>1</v>
      </c>
      <c r="C17" s="75">
        <v>41641</v>
      </c>
      <c r="D17" s="64" t="s">
        <v>45</v>
      </c>
      <c r="E17" s="64">
        <v>41641</v>
      </c>
      <c r="F17" s="67" t="s">
        <v>192</v>
      </c>
      <c r="G17" s="439"/>
      <c r="H17" s="79" t="s">
        <v>164</v>
      </c>
      <c r="I17" s="65">
        <v>58000000</v>
      </c>
      <c r="J17" s="69" t="s">
        <v>23</v>
      </c>
      <c r="K17" s="66" t="s">
        <v>101</v>
      </c>
      <c r="L17" s="90" t="str">
        <f>IF(AND('331-CT'!$E$7=TH!H17,OR(J17="331",K17="331")),"x","")</f>
        <v/>
      </c>
      <c r="M17" s="90" t="str">
        <f>IF(AND($B17&gt;='1111'!$N$10,$B17&lt;='1111'!$O$10,OR($J17=$M$7,$K17=$M$7)),"x","")</f>
        <v/>
      </c>
      <c r="N17" s="90" t="str">
        <f>IF(AND($J17=$M$7,$B17&lt;'1111'!$N$10),"x","")</f>
        <v/>
      </c>
      <c r="O17" s="90" t="str">
        <f>IF(AND($K17=$M$7,$B17&lt;'1111'!$N$10),"x","")</f>
        <v>x</v>
      </c>
      <c r="P17" s="90" t="str">
        <f>IF(AND($B17&gt;='1121'!$N$9,$B17&lt;='1121'!$O$9,OR($J17=$P$7,$K17=$P$7)),"x","")</f>
        <v/>
      </c>
      <c r="Q17" s="90" t="str">
        <f>IF(AND($J17=$P$7,$B17&lt;'1121'!$N$9),"x","")</f>
        <v/>
      </c>
      <c r="R17" s="90" t="str">
        <f>IF(AND($K17=$P$7,$B17&lt;'1121'!$N$9),"x","")</f>
        <v/>
      </c>
      <c r="S17" s="90" t="str">
        <f>IF(AND($B17&gt;='1331'!$I$9,$B17&lt;='1331'!$J$9,OR($J17=$S$7,$K17=$S$7)),"x","")</f>
        <v/>
      </c>
      <c r="T17" s="90" t="str">
        <f>IF(AND($J17=$S$7,$B17&lt;'1331'!$I$9),"x","")</f>
        <v/>
      </c>
      <c r="U17" s="90" t="str">
        <f>IF(AND($K17=$S$7,$B17&lt;'1331'!$I$9),"x","")</f>
        <v/>
      </c>
      <c r="V17" s="90" t="str">
        <f>IF(AND('3411-CT'!$E$9=TH!H17,OR(TH!J17=TH!$V$7,K17=TH!$V$7)),"x","")</f>
        <v/>
      </c>
      <c r="W17" s="90" t="str">
        <f>IF(OR(TH!J17=TH!$W$7,K17=TH!$W$7),"x","")</f>
        <v/>
      </c>
      <c r="X17" s="90" t="str">
        <f>IF(AND(1&lt;=$B17,$B17&lt;=3),"1",IF(AND(4&lt;=$B17,$B17&lt;=6),"2",IF(AND(7&lt;=$B17,$B17&lt;=9),"3",IF(AND(10&lt;=$B17,$B17&lt;=12),"4",""))))</f>
        <v>1</v>
      </c>
    </row>
    <row r="18" spans="1:24" s="77" customFormat="1" ht="15.75" customHeight="1">
      <c r="A18" s="158" t="str">
        <f>IF(B18&lt;&gt;"",IF(AND(B18&gt;=_TM1,B18&lt;=_TM2,OR(TH!J18="1111",TH!K18="1111")),TH!D18,""),"")</f>
        <v/>
      </c>
      <c r="B18" s="63">
        <f t="shared" si="2"/>
        <v>1</v>
      </c>
      <c r="C18" s="64">
        <v>41641</v>
      </c>
      <c r="D18" s="64" t="s">
        <v>11</v>
      </c>
      <c r="E18" s="64">
        <v>41641</v>
      </c>
      <c r="F18" s="67" t="s">
        <v>27</v>
      </c>
      <c r="G18" s="439"/>
      <c r="H18" s="79" t="s">
        <v>164</v>
      </c>
      <c r="I18" s="65">
        <v>58000000</v>
      </c>
      <c r="J18" s="66" t="s">
        <v>34</v>
      </c>
      <c r="K18" s="66" t="s">
        <v>23</v>
      </c>
      <c r="L18" s="90" t="str">
        <f>IF(AND('331-CT'!$E$7=TH!H18,OR(J18="331",K18="331")),"x","")</f>
        <v/>
      </c>
      <c r="M18" s="90" t="str">
        <f>IF(AND($B18&gt;='1111'!$N$10,$B18&lt;='1111'!$O$10,OR($J18=$M$7,$K18=$M$7)),"x","")</f>
        <v/>
      </c>
      <c r="N18" s="90" t="str">
        <f>IF(AND($J18=$M$7,$B18&lt;'1111'!$N$10),"x","")</f>
        <v/>
      </c>
      <c r="O18" s="90" t="str">
        <f>IF(AND($K18=$M$7,$B18&lt;'1111'!$N$10),"x","")</f>
        <v/>
      </c>
      <c r="P18" s="90" t="str">
        <f>IF(AND($B18&gt;='1121'!$N$9,$B18&lt;='1121'!$O$9,OR($J18=$P$7,$K18=$P$7)),"x","")</f>
        <v/>
      </c>
      <c r="Q18" s="90" t="str">
        <f>IF(AND($J18=$P$7,$B18&lt;'1121'!$N$9),"x","")</f>
        <v>x</v>
      </c>
      <c r="R18" s="90" t="str">
        <f>IF(AND($K18=$P$7,$B18&lt;'1121'!$N$9),"x","")</f>
        <v/>
      </c>
      <c r="S18" s="90" t="str">
        <f>IF(AND($B18&gt;='1331'!$I$9,$B18&lt;='1331'!$J$9,OR($J18=$S$7,$K18=$S$7)),"x","")</f>
        <v/>
      </c>
      <c r="T18" s="90" t="str">
        <f>IF(AND($J18=$S$7,$B18&lt;'1331'!$I$9),"x","")</f>
        <v/>
      </c>
      <c r="U18" s="90" t="str">
        <f>IF(AND($K18=$S$7,$B18&lt;'1331'!$I$9),"x","")</f>
        <v/>
      </c>
      <c r="V18" s="90" t="str">
        <f>IF(AND('3411-CT'!$E$9=TH!H18,OR(TH!J18=TH!$V$7,K18=TH!$V$7)),"x","")</f>
        <v/>
      </c>
      <c r="W18" s="90" t="str">
        <f>IF(OR(TH!J18=TH!$W$7,K18=TH!$W$7),"x","")</f>
        <v/>
      </c>
      <c r="X18" s="90" t="str">
        <f t="shared" ref="X18:X81" si="3">IF(AND(1&lt;=$B18,$B18&lt;=3),"1",IF(AND(4&lt;=$B18,$B18&lt;=6),"2",IF(AND(7&lt;=$B18,$B18&lt;=9),"3",IF(AND(10&lt;=$B18,$B18&lt;=12),"4",""))))</f>
        <v>1</v>
      </c>
    </row>
    <row r="19" spans="1:24" s="77" customFormat="1" ht="15.75" customHeight="1">
      <c r="A19" s="158" t="str">
        <f>IF(B19&lt;&gt;"",IF(AND(B19&gt;=_TM1,B19&lt;=_TM2,OR(TH!J19="1111",TH!K19="1111")),TH!D19,""),"")</f>
        <v/>
      </c>
      <c r="B19" s="63">
        <f t="shared" si="2"/>
        <v>1</v>
      </c>
      <c r="C19" s="64">
        <v>41641</v>
      </c>
      <c r="D19" s="64" t="s">
        <v>8</v>
      </c>
      <c r="E19" s="64">
        <v>41641</v>
      </c>
      <c r="F19" s="67" t="s">
        <v>306</v>
      </c>
      <c r="G19" s="439"/>
      <c r="H19" s="79" t="s">
        <v>56</v>
      </c>
      <c r="I19" s="65">
        <v>27500000</v>
      </c>
      <c r="J19" s="66" t="s">
        <v>9</v>
      </c>
      <c r="K19" s="66" t="s">
        <v>34</v>
      </c>
      <c r="L19" s="90" t="str">
        <f>IF(AND('331-CT'!$E$7=TH!H19,OR(J19="331",K19="331")),"x","")</f>
        <v/>
      </c>
      <c r="M19" s="90" t="str">
        <f>IF(AND($B19&gt;='1111'!$N$10,$B19&lt;='1111'!$O$10,OR($J19=$M$7,$K19=$M$7)),"x","")</f>
        <v/>
      </c>
      <c r="N19" s="90" t="str">
        <f>IF(AND($J19=$M$7,$B19&lt;'1111'!$N$10),"x","")</f>
        <v/>
      </c>
      <c r="O19" s="90" t="str">
        <f>IF(AND($K19=$M$7,$B19&lt;'1111'!$N$10),"x","")</f>
        <v/>
      </c>
      <c r="P19" s="90" t="str">
        <f>IF(AND($B19&gt;='1121'!$N$9,$B19&lt;='1121'!$O$9,OR($J19=$P$7,$K19=$P$7)),"x","")</f>
        <v/>
      </c>
      <c r="Q19" s="90" t="str">
        <f>IF(AND($J19=$P$7,$B19&lt;'1121'!$N$9),"x","")</f>
        <v/>
      </c>
      <c r="R19" s="90" t="str">
        <f>IF(AND($K19=$P$7,$B19&lt;'1121'!$N$9),"x","")</f>
        <v>x</v>
      </c>
      <c r="S19" s="90" t="str">
        <f>IF(AND($B19&gt;='1331'!$I$9,$B19&lt;='1331'!$J$9,OR($J19=$S$7,$K19=$S$7)),"x","")</f>
        <v/>
      </c>
      <c r="T19" s="90" t="str">
        <f>IF(AND($J19=$S$7,$B19&lt;'1331'!$I$9),"x","")</f>
        <v/>
      </c>
      <c r="U19" s="90" t="str">
        <f>IF(AND($K19=$S$7,$B19&lt;'1331'!$I$9),"x","")</f>
        <v/>
      </c>
      <c r="V19" s="90" t="str">
        <f>IF(AND('3411-CT'!$E$9=TH!H19,OR(TH!J19=TH!$V$7,K19=TH!$V$7)),"x","")</f>
        <v/>
      </c>
      <c r="W19" s="90" t="str">
        <f>IF(OR(TH!J19=TH!$W$7,K19=TH!$W$7),"x","")</f>
        <v/>
      </c>
      <c r="X19" s="90" t="str">
        <f t="shared" si="3"/>
        <v>1</v>
      </c>
    </row>
    <row r="20" spans="1:24" s="77" customFormat="1" ht="15.75" customHeight="1">
      <c r="A20" s="158" t="str">
        <f>IF(B20&lt;&gt;"",IF(AND(B20&gt;=_TM1,B20&lt;=_TM2,OR(TH!J20="1111",TH!K20="1111")),TH!D20,""),"")</f>
        <v/>
      </c>
      <c r="B20" s="63">
        <f t="shared" si="2"/>
        <v>1</v>
      </c>
      <c r="C20" s="64">
        <v>41641</v>
      </c>
      <c r="D20" s="64" t="s">
        <v>8</v>
      </c>
      <c r="E20" s="64">
        <v>41641</v>
      </c>
      <c r="F20" s="67" t="s">
        <v>21</v>
      </c>
      <c r="G20" s="439"/>
      <c r="H20" s="79"/>
      <c r="I20" s="65">
        <v>20000</v>
      </c>
      <c r="J20" s="66" t="s">
        <v>140</v>
      </c>
      <c r="K20" s="66" t="s">
        <v>34</v>
      </c>
      <c r="L20" s="90" t="str">
        <f>IF(AND('331-CT'!$E$7=TH!H20,OR(J20="331",K20="331")),"x","")</f>
        <v/>
      </c>
      <c r="M20" s="90" t="str">
        <f>IF(AND($B20&gt;='1111'!$N$10,$B20&lt;='1111'!$O$10,OR($J20=$M$7,$K20=$M$7)),"x","")</f>
        <v/>
      </c>
      <c r="N20" s="90" t="str">
        <f>IF(AND($J20=$M$7,$B20&lt;'1111'!$N$10),"x","")</f>
        <v/>
      </c>
      <c r="O20" s="90" t="str">
        <f>IF(AND($K20=$M$7,$B20&lt;'1111'!$N$10),"x","")</f>
        <v/>
      </c>
      <c r="P20" s="90" t="str">
        <f>IF(AND($B20&gt;='1121'!$N$9,$B20&lt;='1121'!$O$9,OR($J20=$P$7,$K20=$P$7)),"x","")</f>
        <v/>
      </c>
      <c r="Q20" s="90" t="str">
        <f>IF(AND($J20=$P$7,$B20&lt;'1121'!$N$9),"x","")</f>
        <v/>
      </c>
      <c r="R20" s="90" t="str">
        <f>IF(AND($K20=$P$7,$B20&lt;'1121'!$N$9),"x","")</f>
        <v>x</v>
      </c>
      <c r="S20" s="90" t="str">
        <f>IF(AND($B20&gt;='1331'!$I$9,$B20&lt;='1331'!$J$9,OR($J20=$S$7,$K20=$S$7)),"x","")</f>
        <v/>
      </c>
      <c r="T20" s="90" t="str">
        <f>IF(AND($J20=$S$7,$B20&lt;'1331'!$I$9),"x","")</f>
        <v/>
      </c>
      <c r="U20" s="90" t="str">
        <f>IF(AND($K20=$S$7,$B20&lt;'1331'!$I$9),"x","")</f>
        <v/>
      </c>
      <c r="V20" s="90" t="str">
        <f>IF(AND('3411-CT'!$E$9=TH!H20,OR(TH!J20=TH!$V$7,K20=TH!$V$7)),"x","")</f>
        <v/>
      </c>
      <c r="W20" s="90" t="str">
        <f>IF(OR(TH!J20=TH!$W$7,K20=TH!$W$7),"x","")</f>
        <v/>
      </c>
      <c r="X20" s="90" t="str">
        <f t="shared" si="3"/>
        <v>1</v>
      </c>
    </row>
    <row r="21" spans="1:24" s="77" customFormat="1" ht="15.75" customHeight="1">
      <c r="A21" s="158" t="str">
        <f>IF(B21&lt;&gt;"",IF(AND(B21&gt;=_TM1,B21&lt;=_TM2,OR(TH!J21="1111",TH!K21="1111")),TH!D21,""),"")</f>
        <v/>
      </c>
      <c r="B21" s="63">
        <f t="shared" si="2"/>
        <v>1</v>
      </c>
      <c r="C21" s="75">
        <v>41641</v>
      </c>
      <c r="D21" s="64" t="s">
        <v>8</v>
      </c>
      <c r="E21" s="64">
        <v>41641</v>
      </c>
      <c r="F21" s="67" t="s">
        <v>22</v>
      </c>
      <c r="G21" s="439"/>
      <c r="H21" s="79"/>
      <c r="I21" s="65">
        <v>2000</v>
      </c>
      <c r="J21" s="66" t="s">
        <v>10</v>
      </c>
      <c r="K21" s="66" t="s">
        <v>34</v>
      </c>
      <c r="L21" s="90" t="str">
        <f>IF(AND('331-CT'!$E$7=TH!H21,OR(J21="331",K21="331")),"x","")</f>
        <v/>
      </c>
      <c r="M21" s="90" t="str">
        <f>IF(AND($B21&gt;='1111'!$N$10,$B21&lt;='1111'!$O$10,OR($J21=$M$7,$K21=$M$7)),"x","")</f>
        <v/>
      </c>
      <c r="N21" s="90" t="str">
        <f>IF(AND($J21=$M$7,$B21&lt;'1111'!$N$10),"x","")</f>
        <v/>
      </c>
      <c r="O21" s="90" t="str">
        <f>IF(AND($K21=$M$7,$B21&lt;'1111'!$N$10),"x","")</f>
        <v/>
      </c>
      <c r="P21" s="90" t="str">
        <f>IF(AND($B21&gt;='1121'!$N$9,$B21&lt;='1121'!$O$9,OR($J21=$P$7,$K21=$P$7)),"x","")</f>
        <v/>
      </c>
      <c r="Q21" s="90" t="str">
        <f>IF(AND($J21=$P$7,$B21&lt;'1121'!$N$9),"x","")</f>
        <v/>
      </c>
      <c r="R21" s="90" t="str">
        <f>IF(AND($K21=$P$7,$B21&lt;'1121'!$N$9),"x","")</f>
        <v>x</v>
      </c>
      <c r="S21" s="90" t="str">
        <f>IF(AND($B21&gt;='1331'!$I$9,$B21&lt;='1331'!$J$9,OR($J21=$S$7,$K21=$S$7)),"x","")</f>
        <v/>
      </c>
      <c r="T21" s="90" t="str">
        <f>IF(AND($J21=$S$7,$B21&lt;'1331'!$I$9),"x","")</f>
        <v>x</v>
      </c>
      <c r="U21" s="90" t="str">
        <f>IF(AND($K21=$S$7,$B21&lt;'1331'!$I$9),"x","")</f>
        <v/>
      </c>
      <c r="V21" s="90" t="str">
        <f>IF(AND('3411-CT'!$E$9=TH!H21,OR(TH!J21=TH!$V$7,K21=TH!$V$7)),"x","")</f>
        <v/>
      </c>
      <c r="W21" s="90" t="str">
        <f>IF(OR(TH!J21=TH!$W$7,K21=TH!$W$7),"x","")</f>
        <v/>
      </c>
      <c r="X21" s="90" t="str">
        <f t="shared" si="3"/>
        <v>1</v>
      </c>
    </row>
    <row r="22" spans="1:24" s="77" customFormat="1" ht="15.75" customHeight="1">
      <c r="A22" s="158" t="str">
        <f>IF(B22&lt;&gt;"",IF(AND(B22&gt;=_TM1,B22&lt;=_TM2,OR(TH!J22="1111",TH!K22="1111")),TH!D22,""),"")</f>
        <v/>
      </c>
      <c r="B22" s="63">
        <f t="shared" si="2"/>
        <v>1</v>
      </c>
      <c r="C22" s="64">
        <v>41641</v>
      </c>
      <c r="D22" s="64" t="s">
        <v>8</v>
      </c>
      <c r="E22" s="64">
        <v>41641</v>
      </c>
      <c r="F22" s="67" t="s">
        <v>304</v>
      </c>
      <c r="G22" s="439"/>
      <c r="H22" s="79" t="s">
        <v>54</v>
      </c>
      <c r="I22" s="65">
        <v>29920000</v>
      </c>
      <c r="J22" s="66" t="s">
        <v>9</v>
      </c>
      <c r="K22" s="66" t="s">
        <v>34</v>
      </c>
      <c r="L22" s="90" t="str">
        <f>IF(AND('331-CT'!$E$7=TH!H22,OR(J22="331",K22="331")),"x","")</f>
        <v/>
      </c>
      <c r="M22" s="90" t="str">
        <f>IF(AND($B22&gt;='1111'!$N$10,$B22&lt;='1111'!$O$10,OR($J22=$M$7,$K22=$M$7)),"x","")</f>
        <v/>
      </c>
      <c r="N22" s="90" t="str">
        <f>IF(AND($J22=$M$7,$B22&lt;'1111'!$N$10),"x","")</f>
        <v/>
      </c>
      <c r="O22" s="90" t="str">
        <f>IF(AND($K22=$M$7,$B22&lt;'1111'!$N$10),"x","")</f>
        <v/>
      </c>
      <c r="P22" s="90" t="str">
        <f>IF(AND($B22&gt;='1121'!$N$9,$B22&lt;='1121'!$O$9,OR($J22=$P$7,$K22=$P$7)),"x","")</f>
        <v/>
      </c>
      <c r="Q22" s="90" t="str">
        <f>IF(AND($J22=$P$7,$B22&lt;'1121'!$N$9),"x","")</f>
        <v/>
      </c>
      <c r="R22" s="90" t="str">
        <f>IF(AND($K22=$P$7,$B22&lt;'1121'!$N$9),"x","")</f>
        <v>x</v>
      </c>
      <c r="S22" s="90" t="str">
        <f>IF(AND($B22&gt;='1331'!$I$9,$B22&lt;='1331'!$J$9,OR($J22=$S$7,$K22=$S$7)),"x","")</f>
        <v/>
      </c>
      <c r="T22" s="90" t="str">
        <f>IF(AND($J22=$S$7,$B22&lt;'1331'!$I$9),"x","")</f>
        <v/>
      </c>
      <c r="U22" s="90" t="str">
        <f>IF(AND($K22=$S$7,$B22&lt;'1331'!$I$9),"x","")</f>
        <v/>
      </c>
      <c r="V22" s="90" t="str">
        <f>IF(AND('3411-CT'!$E$9=TH!H22,OR(TH!J22=TH!$V$7,K22=TH!$V$7)),"x","")</f>
        <v/>
      </c>
      <c r="W22" s="90" t="str">
        <f>IF(OR(TH!J22=TH!$W$7,K22=TH!$W$7),"x","")</f>
        <v/>
      </c>
      <c r="X22" s="90" t="str">
        <f t="shared" si="3"/>
        <v>1</v>
      </c>
    </row>
    <row r="23" spans="1:24" s="77" customFormat="1" ht="15.75" customHeight="1">
      <c r="A23" s="158" t="str">
        <f>IF(B23&lt;&gt;"",IF(AND(B23&gt;=_TM1,B23&lt;=_TM2,OR(TH!J23="1111",TH!K23="1111")),TH!D23,""),"")</f>
        <v/>
      </c>
      <c r="B23" s="63">
        <f t="shared" si="2"/>
        <v>1</v>
      </c>
      <c r="C23" s="64">
        <v>41641</v>
      </c>
      <c r="D23" s="64" t="s">
        <v>8</v>
      </c>
      <c r="E23" s="64">
        <v>41641</v>
      </c>
      <c r="F23" s="67" t="s">
        <v>21</v>
      </c>
      <c r="G23" s="439"/>
      <c r="H23" s="79"/>
      <c r="I23" s="65">
        <v>20000</v>
      </c>
      <c r="J23" s="66" t="s">
        <v>140</v>
      </c>
      <c r="K23" s="66" t="s">
        <v>34</v>
      </c>
      <c r="L23" s="90" t="str">
        <f>IF(AND('331-CT'!$E$7=TH!H23,OR(J23="331",K23="331")),"x","")</f>
        <v/>
      </c>
      <c r="M23" s="90" t="str">
        <f>IF(AND($B23&gt;='1111'!$N$10,$B23&lt;='1111'!$O$10,OR($J23=$M$7,$K23=$M$7)),"x","")</f>
        <v/>
      </c>
      <c r="N23" s="90" t="str">
        <f>IF(AND($J23=$M$7,$B23&lt;'1111'!$N$10),"x","")</f>
        <v/>
      </c>
      <c r="O23" s="90" t="str">
        <f>IF(AND($K23=$M$7,$B23&lt;'1111'!$N$10),"x","")</f>
        <v/>
      </c>
      <c r="P23" s="90" t="str">
        <f>IF(AND($B23&gt;='1121'!$N$9,$B23&lt;='1121'!$O$9,OR($J23=$P$7,$K23=$P$7)),"x","")</f>
        <v/>
      </c>
      <c r="Q23" s="90" t="str">
        <f>IF(AND($J23=$P$7,$B23&lt;'1121'!$N$9),"x","")</f>
        <v/>
      </c>
      <c r="R23" s="90" t="str">
        <f>IF(AND($K23=$P$7,$B23&lt;'1121'!$N$9),"x","")</f>
        <v>x</v>
      </c>
      <c r="S23" s="90" t="str">
        <f>IF(AND($B23&gt;='1331'!$I$9,$B23&lt;='1331'!$J$9,OR($J23=$S$7,$K23=$S$7)),"x","")</f>
        <v/>
      </c>
      <c r="T23" s="90" t="str">
        <f>IF(AND($J23=$S$7,$B23&lt;'1331'!$I$9),"x","")</f>
        <v/>
      </c>
      <c r="U23" s="90" t="str">
        <f>IF(AND($K23=$S$7,$B23&lt;'1331'!$I$9),"x","")</f>
        <v/>
      </c>
      <c r="V23" s="90" t="str">
        <f>IF(AND('3411-CT'!$E$9=TH!H23,OR(TH!J23=TH!$V$7,K23=TH!$V$7)),"x","")</f>
        <v/>
      </c>
      <c r="W23" s="90" t="str">
        <f>IF(OR(TH!J23=TH!$W$7,K23=TH!$W$7),"x","")</f>
        <v/>
      </c>
      <c r="X23" s="90" t="str">
        <f t="shared" si="3"/>
        <v>1</v>
      </c>
    </row>
    <row r="24" spans="1:24" s="77" customFormat="1" ht="15.75" customHeight="1">
      <c r="A24" s="158" t="str">
        <f>IF(B24&lt;&gt;"",IF(AND(B24&gt;=_TM1,B24&lt;=_TM2,OR(TH!J24="1111",TH!K24="1111")),TH!D24,""),"")</f>
        <v/>
      </c>
      <c r="B24" s="63">
        <f t="shared" si="2"/>
        <v>1</v>
      </c>
      <c r="C24" s="64">
        <v>41641</v>
      </c>
      <c r="D24" s="64" t="s">
        <v>8</v>
      </c>
      <c r="E24" s="64">
        <v>41641</v>
      </c>
      <c r="F24" s="67" t="s">
        <v>22</v>
      </c>
      <c r="G24" s="439"/>
      <c r="H24" s="79"/>
      <c r="I24" s="65">
        <v>2000</v>
      </c>
      <c r="J24" s="66" t="s">
        <v>10</v>
      </c>
      <c r="K24" s="66" t="s">
        <v>34</v>
      </c>
      <c r="L24" s="90" t="str">
        <f>IF(AND('331-CT'!$E$7=TH!H24,OR(J24="331",K24="331")),"x","")</f>
        <v/>
      </c>
      <c r="M24" s="90" t="str">
        <f>IF(AND($B24&gt;='1111'!$N$10,$B24&lt;='1111'!$O$10,OR($J24=$M$7,$K24=$M$7)),"x","")</f>
        <v/>
      </c>
      <c r="N24" s="90" t="str">
        <f>IF(AND($J24=$M$7,$B24&lt;'1111'!$N$10),"x","")</f>
        <v/>
      </c>
      <c r="O24" s="90" t="str">
        <f>IF(AND($K24=$M$7,$B24&lt;'1111'!$N$10),"x","")</f>
        <v/>
      </c>
      <c r="P24" s="90" t="str">
        <f>IF(AND($B24&gt;='1121'!$N$9,$B24&lt;='1121'!$O$9,OR($J24=$P$7,$K24=$P$7)),"x","")</f>
        <v/>
      </c>
      <c r="Q24" s="90" t="str">
        <f>IF(AND($J24=$P$7,$B24&lt;'1121'!$N$9),"x","")</f>
        <v/>
      </c>
      <c r="R24" s="90" t="str">
        <f>IF(AND($K24=$P$7,$B24&lt;'1121'!$N$9),"x","")</f>
        <v>x</v>
      </c>
      <c r="S24" s="90" t="str">
        <f>IF(AND($B24&gt;='1331'!$I$9,$B24&lt;='1331'!$J$9,OR($J24=$S$7,$K24=$S$7)),"x","")</f>
        <v/>
      </c>
      <c r="T24" s="90" t="str">
        <f>IF(AND($J24=$S$7,$B24&lt;'1331'!$I$9),"x","")</f>
        <v>x</v>
      </c>
      <c r="U24" s="90" t="str">
        <f>IF(AND($K24=$S$7,$B24&lt;'1331'!$I$9),"x","")</f>
        <v/>
      </c>
      <c r="V24" s="90" t="str">
        <f>IF(AND('3411-CT'!$E$9=TH!H24,OR(TH!J24=TH!$V$7,K24=TH!$V$7)),"x","")</f>
        <v/>
      </c>
      <c r="W24" s="90" t="str">
        <f>IF(OR(TH!J24=TH!$W$7,K24=TH!$W$7),"x","")</f>
        <v/>
      </c>
      <c r="X24" s="90" t="str">
        <f t="shared" si="3"/>
        <v>1</v>
      </c>
    </row>
    <row r="25" spans="1:24" s="77" customFormat="1" ht="15.75" customHeight="1">
      <c r="A25" s="158" t="str">
        <f>IF(B25&lt;&gt;"",IF(AND(B25&gt;=_TM1,B25&lt;=_TM2,OR(TH!J25="1111",TH!K25="1111")),TH!D25,""),"")</f>
        <v/>
      </c>
      <c r="B25" s="63">
        <f t="shared" si="2"/>
        <v>1</v>
      </c>
      <c r="C25" s="64">
        <v>41653</v>
      </c>
      <c r="D25" s="64" t="s">
        <v>60</v>
      </c>
      <c r="E25" s="64">
        <v>41653</v>
      </c>
      <c r="F25" s="67" t="s">
        <v>192</v>
      </c>
      <c r="G25" s="439"/>
      <c r="H25" s="79" t="s">
        <v>164</v>
      </c>
      <c r="I25" s="65">
        <v>379000000</v>
      </c>
      <c r="J25" s="66" t="s">
        <v>23</v>
      </c>
      <c r="K25" s="66" t="s">
        <v>101</v>
      </c>
      <c r="L25" s="90" t="str">
        <f>IF(AND('331-CT'!$E$7=TH!H25,OR(J25="331",K25="331")),"x","")</f>
        <v/>
      </c>
      <c r="M25" s="90" t="str">
        <f>IF(AND($B25&gt;='1111'!$N$10,$B25&lt;='1111'!$O$10,OR($J25=$M$7,$K25=$M$7)),"x","")</f>
        <v/>
      </c>
      <c r="N25" s="90" t="str">
        <f>IF(AND($J25=$M$7,$B25&lt;'1111'!$N$10),"x","")</f>
        <v/>
      </c>
      <c r="O25" s="90" t="str">
        <f>IF(AND($K25=$M$7,$B25&lt;'1111'!$N$10),"x","")</f>
        <v>x</v>
      </c>
      <c r="P25" s="90" t="str">
        <f>IF(AND($B25&gt;='1121'!$N$9,$B25&lt;='1121'!$O$9,OR($J25=$P$7,$K25=$P$7)),"x","")</f>
        <v/>
      </c>
      <c r="Q25" s="90" t="str">
        <f>IF(AND($J25=$P$7,$B25&lt;'1121'!$N$9),"x","")</f>
        <v/>
      </c>
      <c r="R25" s="90" t="str">
        <f>IF(AND($K25=$P$7,$B25&lt;'1121'!$N$9),"x","")</f>
        <v/>
      </c>
      <c r="S25" s="90" t="str">
        <f>IF(AND($B25&gt;='1331'!$I$9,$B25&lt;='1331'!$J$9,OR($J25=$S$7,$K25=$S$7)),"x","")</f>
        <v/>
      </c>
      <c r="T25" s="90" t="str">
        <f>IF(AND($J25=$S$7,$B25&lt;'1331'!$I$9),"x","")</f>
        <v/>
      </c>
      <c r="U25" s="90" t="str">
        <f>IF(AND($K25=$S$7,$B25&lt;'1331'!$I$9),"x","")</f>
        <v/>
      </c>
      <c r="V25" s="90" t="str">
        <f>IF(AND('3411-CT'!$E$9=TH!H25,OR(TH!J25=TH!$V$7,K25=TH!$V$7)),"x","")</f>
        <v/>
      </c>
      <c r="W25" s="90" t="str">
        <f>IF(OR(TH!J25=TH!$W$7,K25=TH!$W$7),"x","")</f>
        <v/>
      </c>
      <c r="X25" s="90" t="str">
        <f t="shared" si="3"/>
        <v>1</v>
      </c>
    </row>
    <row r="26" spans="1:24" s="77" customFormat="1" ht="15.75" customHeight="1">
      <c r="A26" s="158" t="str">
        <f>IF(B26&lt;&gt;"",IF(AND(B26&gt;=_TM1,B26&lt;=_TM2,OR(TH!J26="1111",TH!K26="1111")),TH!D26,""),"")</f>
        <v/>
      </c>
      <c r="B26" s="63">
        <f t="shared" si="2"/>
        <v>1</v>
      </c>
      <c r="C26" s="64">
        <v>41653</v>
      </c>
      <c r="D26" s="64" t="s">
        <v>11</v>
      </c>
      <c r="E26" s="64">
        <v>41653</v>
      </c>
      <c r="F26" s="67" t="s">
        <v>27</v>
      </c>
      <c r="G26" s="439"/>
      <c r="H26" s="79" t="s">
        <v>164</v>
      </c>
      <c r="I26" s="65">
        <v>379000000</v>
      </c>
      <c r="J26" s="66" t="s">
        <v>34</v>
      </c>
      <c r="K26" s="66" t="s">
        <v>23</v>
      </c>
      <c r="L26" s="90" t="str">
        <f>IF(AND('331-CT'!$E$7=TH!H26,OR(J26="331",K26="331")),"x","")</f>
        <v/>
      </c>
      <c r="M26" s="90" t="str">
        <f>IF(AND($B26&gt;='1111'!$N$10,$B26&lt;='1111'!$O$10,OR($J26=$M$7,$K26=$M$7)),"x","")</f>
        <v/>
      </c>
      <c r="N26" s="90" t="str">
        <f>IF(AND($J26=$M$7,$B26&lt;'1111'!$N$10),"x","")</f>
        <v/>
      </c>
      <c r="O26" s="90" t="str">
        <f>IF(AND($K26=$M$7,$B26&lt;'1111'!$N$10),"x","")</f>
        <v/>
      </c>
      <c r="P26" s="90" t="str">
        <f>IF(AND($B26&gt;='1121'!$N$9,$B26&lt;='1121'!$O$9,OR($J26=$P$7,$K26=$P$7)),"x","")</f>
        <v/>
      </c>
      <c r="Q26" s="90" t="str">
        <f>IF(AND($J26=$P$7,$B26&lt;'1121'!$N$9),"x","")</f>
        <v>x</v>
      </c>
      <c r="R26" s="90" t="str">
        <f>IF(AND($K26=$P$7,$B26&lt;'1121'!$N$9),"x","")</f>
        <v/>
      </c>
      <c r="S26" s="90" t="str">
        <f>IF(AND($B26&gt;='1331'!$I$9,$B26&lt;='1331'!$J$9,OR($J26=$S$7,$K26=$S$7)),"x","")</f>
        <v/>
      </c>
      <c r="T26" s="90" t="str">
        <f>IF(AND($J26=$S$7,$B26&lt;'1331'!$I$9),"x","")</f>
        <v/>
      </c>
      <c r="U26" s="90" t="str">
        <f>IF(AND($K26=$S$7,$B26&lt;'1331'!$I$9),"x","")</f>
        <v/>
      </c>
      <c r="V26" s="90" t="str">
        <f>IF(AND('3411-CT'!$E$9=TH!H26,OR(TH!J26=TH!$V$7,K26=TH!$V$7)),"x","")</f>
        <v/>
      </c>
      <c r="W26" s="90" t="str">
        <f>IF(OR(TH!J26=TH!$W$7,K26=TH!$W$7),"x","")</f>
        <v/>
      </c>
      <c r="X26" s="90" t="str">
        <f t="shared" si="3"/>
        <v>1</v>
      </c>
    </row>
    <row r="27" spans="1:24" s="77" customFormat="1" ht="15.75" customHeight="1">
      <c r="A27" s="158" t="str">
        <f>IF(B27&lt;&gt;"",IF(AND(B27&gt;=_TM1,B27&lt;=_TM2,OR(TH!J27="1111",TH!K27="1111")),TH!D27,""),"")</f>
        <v/>
      </c>
      <c r="B27" s="63">
        <f t="shared" si="2"/>
        <v>1</v>
      </c>
      <c r="C27" s="64">
        <v>41653</v>
      </c>
      <c r="D27" s="64" t="s">
        <v>8</v>
      </c>
      <c r="E27" s="64">
        <v>41653</v>
      </c>
      <c r="F27" s="67" t="s">
        <v>21</v>
      </c>
      <c r="G27" s="439"/>
      <c r="H27" s="79"/>
      <c r="I27" s="65">
        <v>113634</v>
      </c>
      <c r="J27" s="66" t="s">
        <v>140</v>
      </c>
      <c r="K27" s="66" t="s">
        <v>34</v>
      </c>
      <c r="L27" s="90" t="str">
        <f>IF(AND('331-CT'!$E$7=TH!H27,OR(J27="331",K27="331")),"x","")</f>
        <v/>
      </c>
      <c r="M27" s="90" t="str">
        <f>IF(AND($B27&gt;='1111'!$N$10,$B27&lt;='1111'!$O$10,OR($J27=$M$7,$K27=$M$7)),"x","")</f>
        <v/>
      </c>
      <c r="N27" s="90" t="str">
        <f>IF(AND($J27=$M$7,$B27&lt;'1111'!$N$10),"x","")</f>
        <v/>
      </c>
      <c r="O27" s="90" t="str">
        <f>IF(AND($K27=$M$7,$B27&lt;'1111'!$N$10),"x","")</f>
        <v/>
      </c>
      <c r="P27" s="90" t="str">
        <f>IF(AND($B27&gt;='1121'!$N$9,$B27&lt;='1121'!$O$9,OR($J27=$P$7,$K27=$P$7)),"x","")</f>
        <v/>
      </c>
      <c r="Q27" s="90" t="str">
        <f>IF(AND($J27=$P$7,$B27&lt;'1121'!$N$9),"x","")</f>
        <v/>
      </c>
      <c r="R27" s="90" t="str">
        <f>IF(AND($K27=$P$7,$B27&lt;'1121'!$N$9),"x","")</f>
        <v>x</v>
      </c>
      <c r="S27" s="90" t="str">
        <f>IF(AND($B27&gt;='1331'!$I$9,$B27&lt;='1331'!$J$9,OR($J27=$S$7,$K27=$S$7)),"x","")</f>
        <v/>
      </c>
      <c r="T27" s="90" t="str">
        <f>IF(AND($J27=$S$7,$B27&lt;'1331'!$I$9),"x","")</f>
        <v/>
      </c>
      <c r="U27" s="90" t="str">
        <f>IF(AND($K27=$S$7,$B27&lt;'1331'!$I$9),"x","")</f>
        <v/>
      </c>
      <c r="V27" s="90" t="str">
        <f>IF(AND('3411-CT'!$E$9=TH!H27,OR(TH!J27=TH!$V$7,K27=TH!$V$7)),"x","")</f>
        <v/>
      </c>
      <c r="W27" s="90" t="str">
        <f>IF(OR(TH!J27=TH!$W$7,K27=TH!$W$7),"x","")</f>
        <v/>
      </c>
      <c r="X27" s="90" t="str">
        <f t="shared" si="3"/>
        <v>1</v>
      </c>
    </row>
    <row r="28" spans="1:24" s="77" customFormat="1" ht="15.75" customHeight="1">
      <c r="A28" s="158" t="str">
        <f>IF(B28&lt;&gt;"",IF(AND(B28&gt;=_TM1,B28&lt;=_TM2,OR(TH!J28="1111",TH!K28="1111")),TH!D28,""),"")</f>
        <v/>
      </c>
      <c r="B28" s="63">
        <f t="shared" si="2"/>
        <v>1</v>
      </c>
      <c r="C28" s="64">
        <v>41653</v>
      </c>
      <c r="D28" s="64" t="s">
        <v>8</v>
      </c>
      <c r="E28" s="64">
        <v>41653</v>
      </c>
      <c r="F28" s="67" t="s">
        <v>22</v>
      </c>
      <c r="G28" s="439"/>
      <c r="H28" s="79"/>
      <c r="I28" s="65">
        <v>11363</v>
      </c>
      <c r="J28" s="66" t="s">
        <v>10</v>
      </c>
      <c r="K28" s="66" t="s">
        <v>34</v>
      </c>
      <c r="L28" s="90" t="str">
        <f>IF(AND('331-CT'!$E$7=TH!H28,OR(J28="331",K28="331")),"x","")</f>
        <v/>
      </c>
      <c r="M28" s="90" t="str">
        <f>IF(AND($B28&gt;='1111'!$N$10,$B28&lt;='1111'!$O$10,OR($J28=$M$7,$K28=$M$7)),"x","")</f>
        <v/>
      </c>
      <c r="N28" s="90" t="str">
        <f>IF(AND($J28=$M$7,$B28&lt;'1111'!$N$10),"x","")</f>
        <v/>
      </c>
      <c r="O28" s="90" t="str">
        <f>IF(AND($K28=$M$7,$B28&lt;'1111'!$N$10),"x","")</f>
        <v/>
      </c>
      <c r="P28" s="90" t="str">
        <f>IF(AND($B28&gt;='1121'!$N$9,$B28&lt;='1121'!$O$9,OR($J28=$P$7,$K28=$P$7)),"x","")</f>
        <v/>
      </c>
      <c r="Q28" s="90" t="str">
        <f>IF(AND($J28=$P$7,$B28&lt;'1121'!$N$9),"x","")</f>
        <v/>
      </c>
      <c r="R28" s="90" t="str">
        <f>IF(AND($K28=$P$7,$B28&lt;'1121'!$N$9),"x","")</f>
        <v>x</v>
      </c>
      <c r="S28" s="90" t="str">
        <f>IF(AND($B28&gt;='1331'!$I$9,$B28&lt;='1331'!$J$9,OR($J28=$S$7,$K28=$S$7)),"x","")</f>
        <v/>
      </c>
      <c r="T28" s="90" t="str">
        <f>IF(AND($J28=$S$7,$B28&lt;'1331'!$I$9),"x","")</f>
        <v>x</v>
      </c>
      <c r="U28" s="90" t="str">
        <f>IF(AND($K28=$S$7,$B28&lt;'1331'!$I$9),"x","")</f>
        <v/>
      </c>
      <c r="V28" s="90" t="str">
        <f>IF(AND('3411-CT'!$E$9=TH!H28,OR(TH!J28=TH!$V$7,K28=TH!$V$7)),"x","")</f>
        <v/>
      </c>
      <c r="W28" s="90" t="str">
        <f>IF(OR(TH!J28=TH!$W$7,K28=TH!$W$7),"x","")</f>
        <v/>
      </c>
      <c r="X28" s="90" t="str">
        <f t="shared" si="3"/>
        <v>1</v>
      </c>
    </row>
    <row r="29" spans="1:24" s="77" customFormat="1" ht="15.75" customHeight="1">
      <c r="A29" s="158" t="str">
        <f>IF(B29&lt;&gt;"",IF(AND(B29&gt;=_TM1,B29&lt;=_TM2,OR(TH!J29="1111",TH!K29="1111")),TH!D29,""),"")</f>
        <v/>
      </c>
      <c r="B29" s="63">
        <f t="shared" si="2"/>
        <v>1</v>
      </c>
      <c r="C29" s="64">
        <v>41653</v>
      </c>
      <c r="D29" s="64" t="s">
        <v>49</v>
      </c>
      <c r="E29" s="64">
        <v>41653</v>
      </c>
      <c r="F29" s="67" t="s">
        <v>307</v>
      </c>
      <c r="G29" s="439" t="s">
        <v>308</v>
      </c>
      <c r="H29" s="79" t="s">
        <v>54</v>
      </c>
      <c r="I29" s="65">
        <v>27200000</v>
      </c>
      <c r="J29" s="66" t="s">
        <v>140</v>
      </c>
      <c r="K29" s="66" t="s">
        <v>9</v>
      </c>
      <c r="L29" s="90" t="str">
        <f>IF(AND('331-CT'!$E$7=TH!H29,OR(J29="331",K29="331")),"x","")</f>
        <v/>
      </c>
      <c r="M29" s="90" t="str">
        <f>IF(AND($B29&gt;='1111'!$N$10,$B29&lt;='1111'!$O$10,OR($J29=$M$7,$K29=$M$7)),"x","")</f>
        <v/>
      </c>
      <c r="N29" s="90" t="str">
        <f>IF(AND($J29=$M$7,$B29&lt;'1111'!$N$10),"x","")</f>
        <v/>
      </c>
      <c r="O29" s="90" t="str">
        <f>IF(AND($K29=$M$7,$B29&lt;'1111'!$N$10),"x","")</f>
        <v/>
      </c>
      <c r="P29" s="90" t="str">
        <f>IF(AND($B29&gt;='1121'!$N$9,$B29&lt;='1121'!$O$9,OR($J29=$P$7,$K29=$P$7)),"x","")</f>
        <v/>
      </c>
      <c r="Q29" s="90" t="str">
        <f>IF(AND($J29=$P$7,$B29&lt;'1121'!$N$9),"x","")</f>
        <v/>
      </c>
      <c r="R29" s="90" t="str">
        <f>IF(AND($K29=$P$7,$B29&lt;'1121'!$N$9),"x","")</f>
        <v/>
      </c>
      <c r="S29" s="90" t="str">
        <f>IF(AND($B29&gt;='1331'!$I$9,$B29&lt;='1331'!$J$9,OR($J29=$S$7,$K29=$S$7)),"x","")</f>
        <v/>
      </c>
      <c r="T29" s="90" t="str">
        <f>IF(AND($J29=$S$7,$B29&lt;'1331'!$I$9),"x","")</f>
        <v/>
      </c>
      <c r="U29" s="90" t="str">
        <f>IF(AND($K29=$S$7,$B29&lt;'1331'!$I$9),"x","")</f>
        <v/>
      </c>
      <c r="V29" s="90" t="str">
        <f>IF(AND('3411-CT'!$E$9=TH!H29,OR(TH!J29=TH!$V$7,K29=TH!$V$7)),"x","")</f>
        <v/>
      </c>
      <c r="W29" s="90" t="str">
        <f>IF(OR(TH!J29=TH!$W$7,K29=TH!$W$7),"x","")</f>
        <v/>
      </c>
      <c r="X29" s="90" t="str">
        <f t="shared" si="3"/>
        <v>1</v>
      </c>
    </row>
    <row r="30" spans="1:24" s="77" customFormat="1" ht="15.75" customHeight="1">
      <c r="A30" s="158" t="str">
        <f>IF(B30&lt;&gt;"",IF(AND(B30&gt;=_TM1,B30&lt;=_TM2,OR(TH!J30="1111",TH!K30="1111")),TH!D30,""),"")</f>
        <v/>
      </c>
      <c r="B30" s="63">
        <f t="shared" si="2"/>
        <v>1</v>
      </c>
      <c r="C30" s="64">
        <v>41653</v>
      </c>
      <c r="D30" s="64" t="s">
        <v>49</v>
      </c>
      <c r="E30" s="64">
        <v>41653</v>
      </c>
      <c r="F30" s="67" t="s">
        <v>309</v>
      </c>
      <c r="G30" s="439" t="s">
        <v>308</v>
      </c>
      <c r="H30" s="79" t="s">
        <v>54</v>
      </c>
      <c r="I30" s="65">
        <v>2720000</v>
      </c>
      <c r="J30" s="66" t="s">
        <v>10</v>
      </c>
      <c r="K30" s="66" t="s">
        <v>9</v>
      </c>
      <c r="L30" s="90" t="str">
        <f>IF(AND('331-CT'!$E$7=TH!H30,OR(J30="331",K30="331")),"x","")</f>
        <v/>
      </c>
      <c r="M30" s="90" t="str">
        <f>IF(AND($B30&gt;='1111'!$N$10,$B30&lt;='1111'!$O$10,OR($J30=$M$7,$K30=$M$7)),"x","")</f>
        <v/>
      </c>
      <c r="N30" s="90" t="str">
        <f>IF(AND($J30=$M$7,$B30&lt;'1111'!$N$10),"x","")</f>
        <v/>
      </c>
      <c r="O30" s="90" t="str">
        <f>IF(AND($K30=$M$7,$B30&lt;'1111'!$N$10),"x","")</f>
        <v/>
      </c>
      <c r="P30" s="90" t="str">
        <f>IF(AND($B30&gt;='1121'!$N$9,$B30&lt;='1121'!$O$9,OR($J30=$P$7,$K30=$P$7)),"x","")</f>
        <v/>
      </c>
      <c r="Q30" s="90" t="str">
        <f>IF(AND($J30=$P$7,$B30&lt;'1121'!$N$9),"x","")</f>
        <v/>
      </c>
      <c r="R30" s="90" t="str">
        <f>IF(AND($K30=$P$7,$B30&lt;'1121'!$N$9),"x","")</f>
        <v/>
      </c>
      <c r="S30" s="90" t="str">
        <f>IF(AND($B30&gt;='1331'!$I$9,$B30&lt;='1331'!$J$9,OR($J30=$S$7,$K30=$S$7)),"x","")</f>
        <v/>
      </c>
      <c r="T30" s="90" t="str">
        <f>IF(AND($J30=$S$7,$B30&lt;'1331'!$I$9),"x","")</f>
        <v>x</v>
      </c>
      <c r="U30" s="90" t="str">
        <f>IF(AND($K30=$S$7,$B30&lt;'1331'!$I$9),"x","")</f>
        <v/>
      </c>
      <c r="V30" s="90" t="str">
        <f>IF(AND('3411-CT'!$E$9=TH!H30,OR(TH!J30=TH!$V$7,K30=TH!$V$7)),"x","")</f>
        <v/>
      </c>
      <c r="W30" s="90" t="str">
        <f>IF(OR(TH!J30=TH!$W$7,K30=TH!$W$7),"x","")</f>
        <v/>
      </c>
      <c r="X30" s="90" t="str">
        <f t="shared" si="3"/>
        <v>1</v>
      </c>
    </row>
    <row r="31" spans="1:24" s="77" customFormat="1" ht="15.75" customHeight="1">
      <c r="A31" s="158" t="str">
        <f>IF(B31&lt;&gt;"",IF(AND(B31&gt;=_TM1,B31&lt;=_TM2,OR(TH!J31="1111",TH!K31="1111")),TH!D31,""),"")</f>
        <v/>
      </c>
      <c r="B31" s="63">
        <f t="shared" si="2"/>
        <v>1</v>
      </c>
      <c r="C31" s="64">
        <v>41660</v>
      </c>
      <c r="D31" s="64" t="s">
        <v>61</v>
      </c>
      <c r="E31" s="64">
        <v>41660</v>
      </c>
      <c r="F31" s="67" t="s">
        <v>192</v>
      </c>
      <c r="G31" s="439"/>
      <c r="H31" s="79" t="s">
        <v>164</v>
      </c>
      <c r="I31" s="65">
        <v>1500000</v>
      </c>
      <c r="J31" s="66" t="s">
        <v>23</v>
      </c>
      <c r="K31" s="66" t="s">
        <v>101</v>
      </c>
      <c r="L31" s="90" t="str">
        <f>IF(AND('331-CT'!$E$7=TH!H31,OR(J31="331",K31="331")),"x","")</f>
        <v/>
      </c>
      <c r="M31" s="90" t="str">
        <f>IF(AND($B31&gt;='1111'!$N$10,$B31&lt;='1111'!$O$10,OR($J31=$M$7,$K31=$M$7)),"x","")</f>
        <v/>
      </c>
      <c r="N31" s="90" t="str">
        <f>IF(AND($J31=$M$7,$B31&lt;'1111'!$N$10),"x","")</f>
        <v/>
      </c>
      <c r="O31" s="90" t="str">
        <f>IF(AND($K31=$M$7,$B31&lt;'1111'!$N$10),"x","")</f>
        <v>x</v>
      </c>
      <c r="P31" s="90" t="str">
        <f>IF(AND($B31&gt;='1121'!$N$9,$B31&lt;='1121'!$O$9,OR($J31=$P$7,$K31=$P$7)),"x","")</f>
        <v/>
      </c>
      <c r="Q31" s="90" t="str">
        <f>IF(AND($J31=$P$7,$B31&lt;'1121'!$N$9),"x","")</f>
        <v/>
      </c>
      <c r="R31" s="90" t="str">
        <f>IF(AND($K31=$P$7,$B31&lt;'1121'!$N$9),"x","")</f>
        <v/>
      </c>
      <c r="S31" s="90" t="str">
        <f>IF(AND($B31&gt;='1331'!$I$9,$B31&lt;='1331'!$J$9,OR($J31=$S$7,$K31=$S$7)),"x","")</f>
        <v/>
      </c>
      <c r="T31" s="90" t="str">
        <f>IF(AND($J31=$S$7,$B31&lt;'1331'!$I$9),"x","")</f>
        <v/>
      </c>
      <c r="U31" s="90" t="str">
        <f>IF(AND($K31=$S$7,$B31&lt;'1331'!$I$9),"x","")</f>
        <v/>
      </c>
      <c r="V31" s="90" t="str">
        <f>IF(AND('3411-CT'!$E$9=TH!H31,OR(TH!J31=TH!$V$7,K31=TH!$V$7)),"x","")</f>
        <v/>
      </c>
      <c r="W31" s="90" t="str">
        <f>IF(OR(TH!J31=TH!$W$7,K31=TH!$W$7),"x","")</f>
        <v/>
      </c>
      <c r="X31" s="90" t="str">
        <f t="shared" si="3"/>
        <v>1</v>
      </c>
    </row>
    <row r="32" spans="1:24" s="77" customFormat="1" ht="15.75" customHeight="1">
      <c r="A32" s="158" t="str">
        <f>IF(B32&lt;&gt;"",IF(AND(B32&gt;=_TM1,B32&lt;=_TM2,OR(TH!J32="1111",TH!K32="1111")),TH!D32,""),"")</f>
        <v/>
      </c>
      <c r="B32" s="63">
        <f t="shared" si="2"/>
        <v>1</v>
      </c>
      <c r="C32" s="75">
        <v>41660</v>
      </c>
      <c r="D32" s="64" t="s">
        <v>11</v>
      </c>
      <c r="E32" s="64">
        <v>41660</v>
      </c>
      <c r="F32" s="67" t="s">
        <v>27</v>
      </c>
      <c r="G32" s="439"/>
      <c r="H32" s="79" t="s">
        <v>164</v>
      </c>
      <c r="I32" s="65">
        <v>1500000</v>
      </c>
      <c r="J32" s="66" t="s">
        <v>34</v>
      </c>
      <c r="K32" s="66" t="s">
        <v>23</v>
      </c>
      <c r="L32" s="90" t="str">
        <f>IF(AND('331-CT'!$E$7=TH!H32,OR(J32="331",K32="331")),"x","")</f>
        <v/>
      </c>
      <c r="M32" s="90" t="str">
        <f>IF(AND($B32&gt;='1111'!$N$10,$B32&lt;='1111'!$O$10,OR($J32=$M$7,$K32=$M$7)),"x","")</f>
        <v/>
      </c>
      <c r="N32" s="90" t="str">
        <f>IF(AND($J32=$M$7,$B32&lt;'1111'!$N$10),"x","")</f>
        <v/>
      </c>
      <c r="O32" s="90" t="str">
        <f>IF(AND($K32=$M$7,$B32&lt;'1111'!$N$10),"x","")</f>
        <v/>
      </c>
      <c r="P32" s="90" t="str">
        <f>IF(AND($B32&gt;='1121'!$N$9,$B32&lt;='1121'!$O$9,OR($J32=$P$7,$K32=$P$7)),"x","")</f>
        <v/>
      </c>
      <c r="Q32" s="90" t="str">
        <f>IF(AND($J32=$P$7,$B32&lt;'1121'!$N$9),"x","")</f>
        <v>x</v>
      </c>
      <c r="R32" s="90" t="str">
        <f>IF(AND($K32=$P$7,$B32&lt;'1121'!$N$9),"x","")</f>
        <v/>
      </c>
      <c r="S32" s="90" t="str">
        <f>IF(AND($B32&gt;='1331'!$I$9,$B32&lt;='1331'!$J$9,OR($J32=$S$7,$K32=$S$7)),"x","")</f>
        <v/>
      </c>
      <c r="T32" s="90" t="str">
        <f>IF(AND($J32=$S$7,$B32&lt;'1331'!$I$9),"x","")</f>
        <v/>
      </c>
      <c r="U32" s="90" t="str">
        <f>IF(AND($K32=$S$7,$B32&lt;'1331'!$I$9),"x","")</f>
        <v/>
      </c>
      <c r="V32" s="90" t="str">
        <f>IF(AND('3411-CT'!$E$9=TH!H32,OR(TH!J32=TH!$V$7,K32=TH!$V$7)),"x","")</f>
        <v/>
      </c>
      <c r="W32" s="90" t="str">
        <f>IF(OR(TH!J32=TH!$W$7,K32=TH!$W$7),"x","")</f>
        <v/>
      </c>
      <c r="X32" s="90" t="str">
        <f t="shared" si="3"/>
        <v>1</v>
      </c>
    </row>
    <row r="33" spans="1:24" s="77" customFormat="1" ht="15.75" customHeight="1">
      <c r="A33" s="158" t="str">
        <f>IF(B33&lt;&gt;"",IF(AND(B33&gt;=_TM1,B33&lt;=_TM2,OR(TH!J33="1111",TH!K33="1111")),TH!D33,""),"")</f>
        <v/>
      </c>
      <c r="B33" s="63">
        <f t="shared" si="2"/>
        <v>1</v>
      </c>
      <c r="C33" s="75">
        <v>41660</v>
      </c>
      <c r="D33" s="64" t="s">
        <v>49</v>
      </c>
      <c r="E33" s="64">
        <v>41660</v>
      </c>
      <c r="F33" s="67" t="s">
        <v>310</v>
      </c>
      <c r="G33" s="439"/>
      <c r="H33" s="79"/>
      <c r="I33" s="65">
        <v>1500000</v>
      </c>
      <c r="J33" s="66" t="s">
        <v>140</v>
      </c>
      <c r="K33" s="66" t="s">
        <v>117</v>
      </c>
      <c r="L33" s="90" t="str">
        <f>IF(AND('331-CT'!$E$7=TH!H33,OR(J33="331",K33="331")),"x","")</f>
        <v/>
      </c>
      <c r="M33" s="90" t="str">
        <f>IF(AND($B33&gt;='1111'!$N$10,$B33&lt;='1111'!$O$10,OR($J33=$M$7,$K33=$M$7)),"x","")</f>
        <v/>
      </c>
      <c r="N33" s="90" t="str">
        <f>IF(AND($J33=$M$7,$B33&lt;'1111'!$N$10),"x","")</f>
        <v/>
      </c>
      <c r="O33" s="90" t="str">
        <f>IF(AND($K33=$M$7,$B33&lt;'1111'!$N$10),"x","")</f>
        <v/>
      </c>
      <c r="P33" s="90" t="str">
        <f>IF(AND($B33&gt;='1121'!$N$9,$B33&lt;='1121'!$O$9,OR($J33=$P$7,$K33=$P$7)),"x","")</f>
        <v/>
      </c>
      <c r="Q33" s="90" t="str">
        <f>IF(AND($J33=$P$7,$B33&lt;'1121'!$N$9),"x","")</f>
        <v/>
      </c>
      <c r="R33" s="90" t="str">
        <f>IF(AND($K33=$P$7,$B33&lt;'1121'!$N$9),"x","")</f>
        <v/>
      </c>
      <c r="S33" s="90" t="str">
        <f>IF(AND($B33&gt;='1331'!$I$9,$B33&lt;='1331'!$J$9,OR($J33=$S$7,$K33=$S$7)),"x","")</f>
        <v/>
      </c>
      <c r="T33" s="90" t="str">
        <f>IF(AND($J33=$S$7,$B33&lt;'1331'!$I$9),"x","")</f>
        <v/>
      </c>
      <c r="U33" s="90" t="str">
        <f>IF(AND($K33=$S$7,$B33&lt;'1331'!$I$9),"x","")</f>
        <v/>
      </c>
      <c r="V33" s="90" t="str">
        <f>IF(AND('3411-CT'!$E$9=TH!H33,OR(TH!J33=TH!$V$7,K33=TH!$V$7)),"x","")</f>
        <v/>
      </c>
      <c r="W33" s="90" t="str">
        <f>IF(OR(TH!J33=TH!$W$7,K33=TH!$W$7),"x","")</f>
        <v/>
      </c>
      <c r="X33" s="90" t="str">
        <f t="shared" si="3"/>
        <v>1</v>
      </c>
    </row>
    <row r="34" spans="1:24" s="77" customFormat="1" ht="15.75" customHeight="1">
      <c r="A34" s="158" t="str">
        <f>IF(B34&lt;&gt;"",IF(AND(B34&gt;=_TM1,B34&lt;=_TM2,OR(TH!J34="1111",TH!K34="1111")),TH!D34,""),"")</f>
        <v/>
      </c>
      <c r="B34" s="63">
        <f t="shared" si="2"/>
        <v>1</v>
      </c>
      <c r="C34" s="75">
        <v>41660</v>
      </c>
      <c r="D34" s="64" t="s">
        <v>8</v>
      </c>
      <c r="E34" s="64">
        <v>41660</v>
      </c>
      <c r="F34" s="67" t="s">
        <v>310</v>
      </c>
      <c r="G34" s="439"/>
      <c r="H34" s="79"/>
      <c r="I34" s="65">
        <v>1500000</v>
      </c>
      <c r="J34" s="66" t="s">
        <v>117</v>
      </c>
      <c r="K34" s="66" t="s">
        <v>34</v>
      </c>
      <c r="L34" s="90" t="str">
        <f>IF(AND('331-CT'!$E$7=TH!H34,OR(J34="331",K34="331")),"x","")</f>
        <v/>
      </c>
      <c r="M34" s="90" t="str">
        <f>IF(AND($B34&gt;='1111'!$N$10,$B34&lt;='1111'!$O$10,OR($J34=$M$7,$K34=$M$7)),"x","")</f>
        <v/>
      </c>
      <c r="N34" s="90" t="str">
        <f>IF(AND($J34=$M$7,$B34&lt;'1111'!$N$10),"x","")</f>
        <v/>
      </c>
      <c r="O34" s="90" t="str">
        <f>IF(AND($K34=$M$7,$B34&lt;'1111'!$N$10),"x","")</f>
        <v/>
      </c>
      <c r="P34" s="90" t="str">
        <f>IF(AND($B34&gt;='1121'!$N$9,$B34&lt;='1121'!$O$9,OR($J34=$P$7,$K34=$P$7)),"x","")</f>
        <v/>
      </c>
      <c r="Q34" s="90" t="str">
        <f>IF(AND($J34=$P$7,$B34&lt;'1121'!$N$9),"x","")</f>
        <v/>
      </c>
      <c r="R34" s="90" t="str">
        <f>IF(AND($K34=$P$7,$B34&lt;'1121'!$N$9),"x","")</f>
        <v>x</v>
      </c>
      <c r="S34" s="90" t="str">
        <f>IF(AND($B34&gt;='1331'!$I$9,$B34&lt;='1331'!$J$9,OR($J34=$S$7,$K34=$S$7)),"x","")</f>
        <v/>
      </c>
      <c r="T34" s="90" t="str">
        <f>IF(AND($J34=$S$7,$B34&lt;'1331'!$I$9),"x","")</f>
        <v/>
      </c>
      <c r="U34" s="90" t="str">
        <f>IF(AND($K34=$S$7,$B34&lt;'1331'!$I$9),"x","")</f>
        <v/>
      </c>
      <c r="V34" s="90" t="str">
        <f>IF(AND('3411-CT'!$E$9=TH!H34,OR(TH!J34=TH!$V$7,K34=TH!$V$7)),"x","")</f>
        <v/>
      </c>
      <c r="W34" s="90" t="str">
        <f>IF(OR(TH!J34=TH!$W$7,K34=TH!$W$7),"x","")</f>
        <v/>
      </c>
      <c r="X34" s="90" t="str">
        <f t="shared" si="3"/>
        <v>1</v>
      </c>
    </row>
    <row r="35" spans="1:24" s="77" customFormat="1" ht="15.75" customHeight="1">
      <c r="A35" s="158" t="str">
        <f>IF(B35&lt;&gt;"",IF(AND(B35&gt;=_TM1,B35&lt;=_TM2,OR(TH!J35="1111",TH!K35="1111")),TH!D35,""),"")</f>
        <v/>
      </c>
      <c r="B35" s="63">
        <f t="shared" si="2"/>
        <v>1</v>
      </c>
      <c r="C35" s="64">
        <v>41660</v>
      </c>
      <c r="D35" s="64" t="s">
        <v>8</v>
      </c>
      <c r="E35" s="64">
        <v>41660</v>
      </c>
      <c r="F35" s="67" t="s">
        <v>21</v>
      </c>
      <c r="G35" s="439"/>
      <c r="H35" s="79"/>
      <c r="I35" s="65">
        <v>20000</v>
      </c>
      <c r="J35" s="66" t="s">
        <v>140</v>
      </c>
      <c r="K35" s="66" t="s">
        <v>34</v>
      </c>
      <c r="L35" s="90" t="str">
        <f>IF(AND('331-CT'!$E$7=TH!H35,OR(J35="331",K35="331")),"x","")</f>
        <v/>
      </c>
      <c r="M35" s="90" t="str">
        <f>IF(AND($B35&gt;='1111'!$N$10,$B35&lt;='1111'!$O$10,OR($J35=$M$7,$K35=$M$7)),"x","")</f>
        <v/>
      </c>
      <c r="N35" s="90" t="str">
        <f>IF(AND($J35=$M$7,$B35&lt;'1111'!$N$10),"x","")</f>
        <v/>
      </c>
      <c r="O35" s="90" t="str">
        <f>IF(AND($K35=$M$7,$B35&lt;'1111'!$N$10),"x","")</f>
        <v/>
      </c>
      <c r="P35" s="90" t="str">
        <f>IF(AND($B35&gt;='1121'!$N$9,$B35&lt;='1121'!$O$9,OR($J35=$P$7,$K35=$P$7)),"x","")</f>
        <v/>
      </c>
      <c r="Q35" s="90" t="str">
        <f>IF(AND($J35=$P$7,$B35&lt;'1121'!$N$9),"x","")</f>
        <v/>
      </c>
      <c r="R35" s="90" t="str">
        <f>IF(AND($K35=$P$7,$B35&lt;'1121'!$N$9),"x","")</f>
        <v>x</v>
      </c>
      <c r="S35" s="90" t="str">
        <f>IF(AND($B35&gt;='1331'!$I$9,$B35&lt;='1331'!$J$9,OR($J35=$S$7,$K35=$S$7)),"x","")</f>
        <v/>
      </c>
      <c r="T35" s="90" t="str">
        <f>IF(AND($J35=$S$7,$B35&lt;'1331'!$I$9),"x","")</f>
        <v/>
      </c>
      <c r="U35" s="90" t="str">
        <f>IF(AND($K35=$S$7,$B35&lt;'1331'!$I$9),"x","")</f>
        <v/>
      </c>
      <c r="V35" s="90" t="str">
        <f>IF(AND('3411-CT'!$E$9=TH!H35,OR(TH!J35=TH!$V$7,K35=TH!$V$7)),"x","")</f>
        <v/>
      </c>
      <c r="W35" s="90" t="str">
        <f>IF(OR(TH!J35=TH!$W$7,K35=TH!$W$7),"x","")</f>
        <v/>
      </c>
      <c r="X35" s="90" t="str">
        <f t="shared" si="3"/>
        <v>1</v>
      </c>
    </row>
    <row r="36" spans="1:24" s="77" customFormat="1" ht="15.75" customHeight="1">
      <c r="A36" s="158" t="str">
        <f>IF(B36&lt;&gt;"",IF(AND(B36&gt;=_TM1,B36&lt;=_TM2,OR(TH!J36="1111",TH!K36="1111")),TH!D36,""),"")</f>
        <v/>
      </c>
      <c r="B36" s="63">
        <f t="shared" si="2"/>
        <v>1</v>
      </c>
      <c r="C36" s="64">
        <v>41660</v>
      </c>
      <c r="D36" s="64" t="s">
        <v>8</v>
      </c>
      <c r="E36" s="64">
        <v>41660</v>
      </c>
      <c r="F36" s="67" t="s">
        <v>22</v>
      </c>
      <c r="G36" s="439"/>
      <c r="H36" s="79"/>
      <c r="I36" s="65">
        <v>2000</v>
      </c>
      <c r="J36" s="66" t="s">
        <v>10</v>
      </c>
      <c r="K36" s="66" t="s">
        <v>34</v>
      </c>
      <c r="L36" s="90" t="str">
        <f>IF(AND('331-CT'!$E$7=TH!H36,OR(J36="331",K36="331")),"x","")</f>
        <v/>
      </c>
      <c r="M36" s="90" t="str">
        <f>IF(AND($B36&gt;='1111'!$N$10,$B36&lt;='1111'!$O$10,OR($J36=$M$7,$K36=$M$7)),"x","")</f>
        <v/>
      </c>
      <c r="N36" s="90" t="str">
        <f>IF(AND($J36=$M$7,$B36&lt;'1111'!$N$10),"x","")</f>
        <v/>
      </c>
      <c r="O36" s="90" t="str">
        <f>IF(AND($K36=$M$7,$B36&lt;'1111'!$N$10),"x","")</f>
        <v/>
      </c>
      <c r="P36" s="90" t="str">
        <f>IF(AND($B36&gt;='1121'!$N$9,$B36&lt;='1121'!$O$9,OR($J36=$P$7,$K36=$P$7)),"x","")</f>
        <v/>
      </c>
      <c r="Q36" s="90" t="str">
        <f>IF(AND($J36=$P$7,$B36&lt;'1121'!$N$9),"x","")</f>
        <v/>
      </c>
      <c r="R36" s="90" t="str">
        <f>IF(AND($K36=$P$7,$B36&lt;'1121'!$N$9),"x","")</f>
        <v>x</v>
      </c>
      <c r="S36" s="90" t="str">
        <f>IF(AND($B36&gt;='1331'!$I$9,$B36&lt;='1331'!$J$9,OR($J36=$S$7,$K36=$S$7)),"x","")</f>
        <v/>
      </c>
      <c r="T36" s="90" t="str">
        <f>IF(AND($J36=$S$7,$B36&lt;'1331'!$I$9),"x","")</f>
        <v>x</v>
      </c>
      <c r="U36" s="90" t="str">
        <f>IF(AND($K36=$S$7,$B36&lt;'1331'!$I$9),"x","")</f>
        <v/>
      </c>
      <c r="V36" s="90" t="str">
        <f>IF(AND('3411-CT'!$E$9=TH!H36,OR(TH!J36=TH!$V$7,K36=TH!$V$7)),"x","")</f>
        <v/>
      </c>
      <c r="W36" s="90" t="str">
        <f>IF(OR(TH!J36=TH!$W$7,K36=TH!$W$7),"x","")</f>
        <v/>
      </c>
      <c r="X36" s="90" t="str">
        <f t="shared" si="3"/>
        <v>1</v>
      </c>
    </row>
    <row r="37" spans="1:24" s="77" customFormat="1" ht="15.75" customHeight="1">
      <c r="A37" s="158" t="str">
        <f>IF(B37&lt;&gt;"",IF(AND(B37&gt;=_TM1,B37&lt;=_TM2,OR(TH!J37="1111",TH!K37="1111")),TH!D37,""),"")</f>
        <v/>
      </c>
      <c r="B37" s="63">
        <f t="shared" si="2"/>
        <v>1</v>
      </c>
      <c r="C37" s="75">
        <v>41664</v>
      </c>
      <c r="D37" s="64" t="s">
        <v>44</v>
      </c>
      <c r="E37" s="64">
        <v>41664</v>
      </c>
      <c r="F37" s="67" t="s">
        <v>191</v>
      </c>
      <c r="G37" s="439"/>
      <c r="H37" s="79" t="s">
        <v>300</v>
      </c>
      <c r="I37" s="65">
        <v>64000000</v>
      </c>
      <c r="J37" s="69" t="s">
        <v>34</v>
      </c>
      <c r="K37" s="66" t="s">
        <v>101</v>
      </c>
      <c r="L37" s="90" t="str">
        <f>IF(AND('331-CT'!$E$7=TH!H37,OR(J37="331",K37="331")),"x","")</f>
        <v/>
      </c>
      <c r="M37" s="90" t="str">
        <f>IF(AND($B37&gt;='1111'!$N$10,$B37&lt;='1111'!$O$10,OR($J37=$M$7,$K37=$M$7)),"x","")</f>
        <v/>
      </c>
      <c r="N37" s="90" t="str">
        <f>IF(AND($J37=$M$7,$B37&lt;'1111'!$N$10),"x","")</f>
        <v/>
      </c>
      <c r="O37" s="90" t="str">
        <f>IF(AND($K37=$M$7,$B37&lt;'1111'!$N$10),"x","")</f>
        <v>x</v>
      </c>
      <c r="P37" s="90" t="str">
        <f>IF(AND($B37&gt;='1121'!$N$9,$B37&lt;='1121'!$O$9,OR($J37=$P$7,$K37=$P$7)),"x","")</f>
        <v/>
      </c>
      <c r="Q37" s="90" t="str">
        <f>IF(AND($J37=$P$7,$B37&lt;'1121'!$N$9),"x","")</f>
        <v>x</v>
      </c>
      <c r="R37" s="90" t="str">
        <f>IF(AND($K37=$P$7,$B37&lt;'1121'!$N$9),"x","")</f>
        <v/>
      </c>
      <c r="S37" s="90" t="str">
        <f>IF(AND($B37&gt;='1331'!$I$9,$B37&lt;='1331'!$J$9,OR($J37=$S$7,$K37=$S$7)),"x","")</f>
        <v/>
      </c>
      <c r="T37" s="90" t="str">
        <f>IF(AND($J37=$S$7,$B37&lt;'1331'!$I$9),"x","")</f>
        <v/>
      </c>
      <c r="U37" s="90" t="str">
        <f>IF(AND($K37=$S$7,$B37&lt;'1331'!$I$9),"x","")</f>
        <v/>
      </c>
      <c r="V37" s="90" t="str">
        <f>IF(AND('3411-CT'!$E$9=TH!H37,OR(TH!J37=TH!$V$7,K37=TH!$V$7)),"x","")</f>
        <v/>
      </c>
      <c r="W37" s="90" t="str">
        <f>IF(OR(TH!J37=TH!$W$7,K37=TH!$W$7),"x","")</f>
        <v/>
      </c>
      <c r="X37" s="90" t="str">
        <f t="shared" si="3"/>
        <v>1</v>
      </c>
    </row>
    <row r="38" spans="1:24" s="77" customFormat="1" ht="15.75" customHeight="1">
      <c r="A38" s="158" t="str">
        <f>IF(B38&lt;&gt;"",IF(AND(B38&gt;=_TM1,B38&lt;=_TM2,OR(TH!J38="1111",TH!K38="1111")),TH!D38,""),"")</f>
        <v/>
      </c>
      <c r="B38" s="63">
        <f t="shared" si="2"/>
        <v>1</v>
      </c>
      <c r="C38" s="64">
        <v>41664</v>
      </c>
      <c r="D38" s="64" t="s">
        <v>8</v>
      </c>
      <c r="E38" s="64">
        <v>41664</v>
      </c>
      <c r="F38" s="67" t="s">
        <v>311</v>
      </c>
      <c r="G38" s="439"/>
      <c r="H38" s="79" t="s">
        <v>57</v>
      </c>
      <c r="I38" s="65">
        <v>43824000</v>
      </c>
      <c r="J38" s="66" t="s">
        <v>9</v>
      </c>
      <c r="K38" s="66" t="s">
        <v>34</v>
      </c>
      <c r="L38" s="90" t="str">
        <f>IF(AND('331-CT'!$E$7=TH!H38,OR(J38="331",K38="331")),"x","")</f>
        <v/>
      </c>
      <c r="M38" s="90" t="str">
        <f>IF(AND($B38&gt;='1111'!$N$10,$B38&lt;='1111'!$O$10,OR($J38=$M$7,$K38=$M$7)),"x","")</f>
        <v/>
      </c>
      <c r="N38" s="90" t="str">
        <f>IF(AND($J38=$M$7,$B38&lt;'1111'!$N$10),"x","")</f>
        <v/>
      </c>
      <c r="O38" s="90" t="str">
        <f>IF(AND($K38=$M$7,$B38&lt;'1111'!$N$10),"x","")</f>
        <v/>
      </c>
      <c r="P38" s="90" t="str">
        <f>IF(AND($B38&gt;='1121'!$N$9,$B38&lt;='1121'!$O$9,OR($J38=$P$7,$K38=$P$7)),"x","")</f>
        <v/>
      </c>
      <c r="Q38" s="90" t="str">
        <f>IF(AND($J38=$P$7,$B38&lt;'1121'!$N$9),"x","")</f>
        <v/>
      </c>
      <c r="R38" s="90" t="str">
        <f>IF(AND($K38=$P$7,$B38&lt;'1121'!$N$9),"x","")</f>
        <v>x</v>
      </c>
      <c r="S38" s="90" t="str">
        <f>IF(AND($B38&gt;='1331'!$I$9,$B38&lt;='1331'!$J$9,OR($J38=$S$7,$K38=$S$7)),"x","")</f>
        <v/>
      </c>
      <c r="T38" s="90" t="str">
        <f>IF(AND($J38=$S$7,$B38&lt;'1331'!$I$9),"x","")</f>
        <v/>
      </c>
      <c r="U38" s="90" t="str">
        <f>IF(AND($K38=$S$7,$B38&lt;'1331'!$I$9),"x","")</f>
        <v/>
      </c>
      <c r="V38" s="90" t="str">
        <f>IF(AND('3411-CT'!$E$9=TH!H38,OR(TH!J38=TH!$V$7,K38=TH!$V$7)),"x","")</f>
        <v/>
      </c>
      <c r="W38" s="90" t="str">
        <f>IF(OR(TH!J38=TH!$W$7,K38=TH!$W$7),"x","")</f>
        <v/>
      </c>
      <c r="X38" s="90" t="str">
        <f t="shared" si="3"/>
        <v>1</v>
      </c>
    </row>
    <row r="39" spans="1:24" s="77" customFormat="1" ht="15.75" customHeight="1">
      <c r="A39" s="158" t="str">
        <f>IF(B39&lt;&gt;"",IF(AND(B39&gt;=_TM1,B39&lt;=_TM2,OR(TH!J39="1111",TH!K39="1111")),TH!D39,""),"")</f>
        <v/>
      </c>
      <c r="B39" s="63">
        <f t="shared" si="2"/>
        <v>1</v>
      </c>
      <c r="C39" s="64">
        <v>41664</v>
      </c>
      <c r="D39" s="64" t="s">
        <v>8</v>
      </c>
      <c r="E39" s="64">
        <v>41664</v>
      </c>
      <c r="F39" s="67" t="s">
        <v>21</v>
      </c>
      <c r="G39" s="439"/>
      <c r="H39" s="79"/>
      <c r="I39" s="65">
        <v>30000</v>
      </c>
      <c r="J39" s="66" t="s">
        <v>140</v>
      </c>
      <c r="K39" s="66" t="s">
        <v>34</v>
      </c>
      <c r="L39" s="90" t="str">
        <f>IF(AND('331-CT'!$E$7=TH!H39,OR(J39="331",K39="331")),"x","")</f>
        <v/>
      </c>
      <c r="M39" s="90" t="str">
        <f>IF(AND($B39&gt;='1111'!$N$10,$B39&lt;='1111'!$O$10,OR($J39=$M$7,$K39=$M$7)),"x","")</f>
        <v/>
      </c>
      <c r="N39" s="90" t="str">
        <f>IF(AND($J39=$M$7,$B39&lt;'1111'!$N$10),"x","")</f>
        <v/>
      </c>
      <c r="O39" s="90" t="str">
        <f>IF(AND($K39=$M$7,$B39&lt;'1111'!$N$10),"x","")</f>
        <v/>
      </c>
      <c r="P39" s="90" t="str">
        <f>IF(AND($B39&gt;='1121'!$N$9,$B39&lt;='1121'!$O$9,OR($J39=$P$7,$K39=$P$7)),"x","")</f>
        <v/>
      </c>
      <c r="Q39" s="90" t="str">
        <f>IF(AND($J39=$P$7,$B39&lt;'1121'!$N$9),"x","")</f>
        <v/>
      </c>
      <c r="R39" s="90" t="str">
        <f>IF(AND($K39=$P$7,$B39&lt;'1121'!$N$9),"x","")</f>
        <v>x</v>
      </c>
      <c r="S39" s="90" t="str">
        <f>IF(AND($B39&gt;='1331'!$I$9,$B39&lt;='1331'!$J$9,OR($J39=$S$7,$K39=$S$7)),"x","")</f>
        <v/>
      </c>
      <c r="T39" s="90" t="str">
        <f>IF(AND($J39=$S$7,$B39&lt;'1331'!$I$9),"x","")</f>
        <v/>
      </c>
      <c r="U39" s="90" t="str">
        <f>IF(AND($K39=$S$7,$B39&lt;'1331'!$I$9),"x","")</f>
        <v/>
      </c>
      <c r="V39" s="90" t="str">
        <f>IF(AND('3411-CT'!$E$9=TH!H39,OR(TH!J39=TH!$V$7,K39=TH!$V$7)),"x","")</f>
        <v/>
      </c>
      <c r="W39" s="90" t="str">
        <f>IF(OR(TH!J39=TH!$W$7,K39=TH!$W$7),"x","")</f>
        <v/>
      </c>
      <c r="X39" s="90" t="str">
        <f t="shared" si="3"/>
        <v>1</v>
      </c>
    </row>
    <row r="40" spans="1:24" s="77" customFormat="1" ht="15.75" customHeight="1">
      <c r="A40" s="158" t="str">
        <f>IF(B40&lt;&gt;"",IF(AND(B40&gt;=_TM1,B40&lt;=_TM2,OR(TH!J40="1111",TH!K40="1111")),TH!D40,""),"")</f>
        <v/>
      </c>
      <c r="B40" s="63">
        <f t="shared" si="2"/>
        <v>1</v>
      </c>
      <c r="C40" s="75">
        <v>41664</v>
      </c>
      <c r="D40" s="64" t="s">
        <v>8</v>
      </c>
      <c r="E40" s="64">
        <v>41664</v>
      </c>
      <c r="F40" s="67" t="s">
        <v>22</v>
      </c>
      <c r="G40" s="439"/>
      <c r="H40" s="79"/>
      <c r="I40" s="65">
        <v>3000</v>
      </c>
      <c r="J40" s="69" t="s">
        <v>10</v>
      </c>
      <c r="K40" s="66" t="s">
        <v>34</v>
      </c>
      <c r="L40" s="90" t="str">
        <f>IF(AND('331-CT'!$E$7=TH!H40,OR(J40="331",K40="331")),"x","")</f>
        <v/>
      </c>
      <c r="M40" s="90" t="str">
        <f>IF(AND($B40&gt;='1111'!$N$10,$B40&lt;='1111'!$O$10,OR($J40=$M$7,$K40=$M$7)),"x","")</f>
        <v/>
      </c>
      <c r="N40" s="90" t="str">
        <f>IF(AND($J40=$M$7,$B40&lt;'1111'!$N$10),"x","")</f>
        <v/>
      </c>
      <c r="O40" s="90" t="str">
        <f>IF(AND($K40=$M$7,$B40&lt;'1111'!$N$10),"x","")</f>
        <v/>
      </c>
      <c r="P40" s="90" t="str">
        <f>IF(AND($B40&gt;='1121'!$N$9,$B40&lt;='1121'!$O$9,OR($J40=$P$7,$K40=$P$7)),"x","")</f>
        <v/>
      </c>
      <c r="Q40" s="90" t="str">
        <f>IF(AND($J40=$P$7,$B40&lt;'1121'!$N$9),"x","")</f>
        <v/>
      </c>
      <c r="R40" s="90" t="str">
        <f>IF(AND($K40=$P$7,$B40&lt;'1121'!$N$9),"x","")</f>
        <v>x</v>
      </c>
      <c r="S40" s="90" t="str">
        <f>IF(AND($B40&gt;='1331'!$I$9,$B40&lt;='1331'!$J$9,OR($J40=$S$7,$K40=$S$7)),"x","")</f>
        <v/>
      </c>
      <c r="T40" s="90" t="str">
        <f>IF(AND($J40=$S$7,$B40&lt;'1331'!$I$9),"x","")</f>
        <v>x</v>
      </c>
      <c r="U40" s="90" t="str">
        <f>IF(AND($K40=$S$7,$B40&lt;'1331'!$I$9),"x","")</f>
        <v/>
      </c>
      <c r="V40" s="90" t="str">
        <f>IF(AND('3411-CT'!$E$9=TH!H40,OR(TH!J40=TH!$V$7,K40=TH!$V$7)),"x","")</f>
        <v/>
      </c>
      <c r="W40" s="90" t="str">
        <f>IF(OR(TH!J40=TH!$W$7,K40=TH!$W$7),"x","")</f>
        <v/>
      </c>
      <c r="X40" s="90" t="str">
        <f t="shared" si="3"/>
        <v>1</v>
      </c>
    </row>
    <row r="41" spans="1:24" s="77" customFormat="1" ht="15.75" customHeight="1">
      <c r="A41" s="158" t="str">
        <f>IF(B41&lt;&gt;"",IF(AND(B41&gt;=_TM1,B41&lt;=_TM2,OR(TH!J41="1111",TH!K41="1111")),TH!D41,""),"")</f>
        <v/>
      </c>
      <c r="B41" s="63">
        <f t="shared" si="2"/>
        <v>1</v>
      </c>
      <c r="C41" s="64">
        <v>41664</v>
      </c>
      <c r="D41" s="64" t="s">
        <v>8</v>
      </c>
      <c r="E41" s="64">
        <v>41664</v>
      </c>
      <c r="F41" s="67" t="s">
        <v>312</v>
      </c>
      <c r="G41" s="439"/>
      <c r="H41" s="79" t="s">
        <v>59</v>
      </c>
      <c r="I41" s="65">
        <v>20000000</v>
      </c>
      <c r="J41" s="66" t="s">
        <v>9</v>
      </c>
      <c r="K41" s="66" t="s">
        <v>34</v>
      </c>
      <c r="L41" s="90" t="str">
        <f>IF(AND('331-CT'!$E$7=TH!H41,OR(J41="331",K41="331")),"x","")</f>
        <v/>
      </c>
      <c r="M41" s="90" t="str">
        <f>IF(AND($B41&gt;='1111'!$N$10,$B41&lt;='1111'!$O$10,OR($J41=$M$7,$K41=$M$7)),"x","")</f>
        <v/>
      </c>
      <c r="N41" s="90" t="str">
        <f>IF(AND($J41=$M$7,$B41&lt;'1111'!$N$10),"x","")</f>
        <v/>
      </c>
      <c r="O41" s="90" t="str">
        <f>IF(AND($K41=$M$7,$B41&lt;'1111'!$N$10),"x","")</f>
        <v/>
      </c>
      <c r="P41" s="90" t="str">
        <f>IF(AND($B41&gt;='1121'!$N$9,$B41&lt;='1121'!$O$9,OR($J41=$P$7,$K41=$P$7)),"x","")</f>
        <v/>
      </c>
      <c r="Q41" s="90" t="str">
        <f>IF(AND($J41=$P$7,$B41&lt;'1121'!$N$9),"x","")</f>
        <v/>
      </c>
      <c r="R41" s="90" t="str">
        <f>IF(AND($K41=$P$7,$B41&lt;'1121'!$N$9),"x","")</f>
        <v>x</v>
      </c>
      <c r="S41" s="90" t="str">
        <f>IF(AND($B41&gt;='1331'!$I$9,$B41&lt;='1331'!$J$9,OR($J41=$S$7,$K41=$S$7)),"x","")</f>
        <v/>
      </c>
      <c r="T41" s="90" t="str">
        <f>IF(AND($J41=$S$7,$B41&lt;'1331'!$I$9),"x","")</f>
        <v/>
      </c>
      <c r="U41" s="90" t="str">
        <f>IF(AND($K41=$S$7,$B41&lt;'1331'!$I$9),"x","")</f>
        <v/>
      </c>
      <c r="V41" s="90" t="str">
        <f>IF(AND('3411-CT'!$E$9=TH!H41,OR(TH!J41=TH!$V$7,K41=TH!$V$7)),"x","")</f>
        <v/>
      </c>
      <c r="W41" s="90" t="str">
        <f>IF(OR(TH!J41=TH!$W$7,K41=TH!$W$7),"x","")</f>
        <v/>
      </c>
      <c r="X41" s="90" t="str">
        <f t="shared" si="3"/>
        <v>1</v>
      </c>
    </row>
    <row r="42" spans="1:24" s="77" customFormat="1" ht="15.75" customHeight="1">
      <c r="A42" s="158" t="str">
        <f>IF(B42&lt;&gt;"",IF(AND(B42&gt;=_TM1,B42&lt;=_TM2,OR(TH!J42="1111",TH!K42="1111")),TH!D42,""),"")</f>
        <v/>
      </c>
      <c r="B42" s="63">
        <f t="shared" si="2"/>
        <v>1</v>
      </c>
      <c r="C42" s="64">
        <v>41664</v>
      </c>
      <c r="D42" s="64" t="s">
        <v>8</v>
      </c>
      <c r="E42" s="64">
        <v>41664</v>
      </c>
      <c r="F42" s="67" t="s">
        <v>21</v>
      </c>
      <c r="G42" s="439"/>
      <c r="H42" s="79"/>
      <c r="I42" s="65">
        <v>22804</v>
      </c>
      <c r="J42" s="66" t="s">
        <v>140</v>
      </c>
      <c r="K42" s="66" t="s">
        <v>34</v>
      </c>
      <c r="L42" s="90" t="str">
        <f>IF(AND('331-CT'!$E$7=TH!H42,OR(J42="331",K42="331")),"x","")</f>
        <v/>
      </c>
      <c r="M42" s="90" t="str">
        <f>IF(AND($B42&gt;='1111'!$N$10,$B42&lt;='1111'!$O$10,OR($J42=$M$7,$K42=$M$7)),"x","")</f>
        <v/>
      </c>
      <c r="N42" s="90" t="str">
        <f>IF(AND($J42=$M$7,$B42&lt;'1111'!$N$10),"x","")</f>
        <v/>
      </c>
      <c r="O42" s="90" t="str">
        <f>IF(AND($K42=$M$7,$B42&lt;'1111'!$N$10),"x","")</f>
        <v/>
      </c>
      <c r="P42" s="90" t="str">
        <f>IF(AND($B42&gt;='1121'!$N$9,$B42&lt;='1121'!$O$9,OR($J42=$P$7,$K42=$P$7)),"x","")</f>
        <v/>
      </c>
      <c r="Q42" s="90" t="str">
        <f>IF(AND($J42=$P$7,$B42&lt;'1121'!$N$9),"x","")</f>
        <v/>
      </c>
      <c r="R42" s="90" t="str">
        <f>IF(AND($K42=$P$7,$B42&lt;'1121'!$N$9),"x","")</f>
        <v>x</v>
      </c>
      <c r="S42" s="90" t="str">
        <f>IF(AND($B42&gt;='1331'!$I$9,$B42&lt;='1331'!$J$9,OR($J42=$S$7,$K42=$S$7)),"x","")</f>
        <v/>
      </c>
      <c r="T42" s="90" t="str">
        <f>IF(AND($J42=$S$7,$B42&lt;'1331'!$I$9),"x","")</f>
        <v/>
      </c>
      <c r="U42" s="90" t="str">
        <f>IF(AND($K42=$S$7,$B42&lt;'1331'!$I$9),"x","")</f>
        <v/>
      </c>
      <c r="V42" s="90" t="str">
        <f>IF(AND('3411-CT'!$E$9=TH!H42,OR(TH!J42=TH!$V$7,K42=TH!$V$7)),"x","")</f>
        <v/>
      </c>
      <c r="W42" s="90" t="str">
        <f>IF(OR(TH!J42=TH!$W$7,K42=TH!$W$7),"x","")</f>
        <v/>
      </c>
      <c r="X42" s="90" t="str">
        <f t="shared" si="3"/>
        <v>1</v>
      </c>
    </row>
    <row r="43" spans="1:24" s="77" customFormat="1" ht="15.75" customHeight="1">
      <c r="A43" s="158" t="str">
        <f>IF(B43&lt;&gt;"",IF(AND(B43&gt;=_TM1,B43&lt;=_TM2,OR(TH!J43="1111",TH!K43="1111")),TH!D43,""),"")</f>
        <v/>
      </c>
      <c r="B43" s="63">
        <f t="shared" si="2"/>
        <v>1</v>
      </c>
      <c r="C43" s="75">
        <v>41664</v>
      </c>
      <c r="D43" s="64" t="s">
        <v>8</v>
      </c>
      <c r="E43" s="64">
        <v>41664</v>
      </c>
      <c r="F43" s="67" t="s">
        <v>22</v>
      </c>
      <c r="G43" s="439"/>
      <c r="H43" s="79"/>
      <c r="I43" s="65">
        <v>2280</v>
      </c>
      <c r="J43" s="66" t="s">
        <v>10</v>
      </c>
      <c r="K43" s="66" t="s">
        <v>34</v>
      </c>
      <c r="L43" s="90" t="str">
        <f>IF(AND('331-CT'!$E$7=TH!H43,OR(J43="331",K43="331")),"x","")</f>
        <v/>
      </c>
      <c r="M43" s="90" t="str">
        <f>IF(AND($B43&gt;='1111'!$N$10,$B43&lt;='1111'!$O$10,OR($J43=$M$7,$K43=$M$7)),"x","")</f>
        <v/>
      </c>
      <c r="N43" s="90" t="str">
        <f>IF(AND($J43=$M$7,$B43&lt;'1111'!$N$10),"x","")</f>
        <v/>
      </c>
      <c r="O43" s="90" t="str">
        <f>IF(AND($K43=$M$7,$B43&lt;'1111'!$N$10),"x","")</f>
        <v/>
      </c>
      <c r="P43" s="90" t="str">
        <f>IF(AND($B43&gt;='1121'!$N$9,$B43&lt;='1121'!$O$9,OR($J43=$P$7,$K43=$P$7)),"x","")</f>
        <v/>
      </c>
      <c r="Q43" s="90" t="str">
        <f>IF(AND($J43=$P$7,$B43&lt;'1121'!$N$9),"x","")</f>
        <v/>
      </c>
      <c r="R43" s="90" t="str">
        <f>IF(AND($K43=$P$7,$B43&lt;'1121'!$N$9),"x","")</f>
        <v>x</v>
      </c>
      <c r="S43" s="90" t="str">
        <f>IF(AND($B43&gt;='1331'!$I$9,$B43&lt;='1331'!$J$9,OR($J43=$S$7,$K43=$S$7)),"x","")</f>
        <v/>
      </c>
      <c r="T43" s="90" t="str">
        <f>IF(AND($J43=$S$7,$B43&lt;'1331'!$I$9),"x","")</f>
        <v>x</v>
      </c>
      <c r="U43" s="90" t="str">
        <f>IF(AND($K43=$S$7,$B43&lt;'1331'!$I$9),"x","")</f>
        <v/>
      </c>
      <c r="V43" s="90" t="str">
        <f>IF(AND('3411-CT'!$E$9=TH!H43,OR(TH!J43=TH!$V$7,K43=TH!$V$7)),"x","")</f>
        <v/>
      </c>
      <c r="W43" s="90" t="str">
        <f>IF(OR(TH!J43=TH!$W$7,K43=TH!$W$7),"x","")</f>
        <v/>
      </c>
      <c r="X43" s="90" t="str">
        <f t="shared" si="3"/>
        <v>1</v>
      </c>
    </row>
    <row r="44" spans="1:24" s="77" customFormat="1" ht="15.75" customHeight="1">
      <c r="A44" s="158" t="str">
        <f>IF(B44&lt;&gt;"",IF(AND(B44&gt;=_TM1,B44&lt;=_TM2,OR(TH!J44="1111",TH!K44="1111")),TH!D44,""),"")</f>
        <v/>
      </c>
      <c r="B44" s="63">
        <f t="shared" si="2"/>
        <v>3</v>
      </c>
      <c r="C44" s="64">
        <v>41699</v>
      </c>
      <c r="D44" s="64" t="s">
        <v>43</v>
      </c>
      <c r="E44" s="64">
        <v>41699</v>
      </c>
      <c r="F44" s="67" t="s">
        <v>191</v>
      </c>
      <c r="G44" s="439"/>
      <c r="H44" s="79" t="s">
        <v>313</v>
      </c>
      <c r="I44" s="65">
        <v>76500000</v>
      </c>
      <c r="J44" s="66" t="s">
        <v>34</v>
      </c>
      <c r="K44" s="66" t="s">
        <v>101</v>
      </c>
      <c r="L44" s="90" t="str">
        <f>IF(AND('331-CT'!$E$7=TH!H44,OR(J44="331",K44="331")),"x","")</f>
        <v/>
      </c>
      <c r="M44" s="90" t="str">
        <f>IF(AND($B44&gt;='1111'!$N$10,$B44&lt;='1111'!$O$10,OR($J44=$M$7,$K44=$M$7)),"x","")</f>
        <v/>
      </c>
      <c r="N44" s="90" t="str">
        <f>IF(AND($J44=$M$7,$B44&lt;'1111'!$N$10),"x","")</f>
        <v/>
      </c>
      <c r="O44" s="90" t="str">
        <f>IF(AND($K44=$M$7,$B44&lt;'1111'!$N$10),"x","")</f>
        <v>x</v>
      </c>
      <c r="P44" s="90" t="str">
        <f>IF(AND($B44&gt;='1121'!$N$9,$B44&lt;='1121'!$O$9,OR($J44=$P$7,$K44=$P$7)),"x","")</f>
        <v/>
      </c>
      <c r="Q44" s="90" t="str">
        <f>IF(AND($J44=$P$7,$B44&lt;'1121'!$N$9),"x","")</f>
        <v>x</v>
      </c>
      <c r="R44" s="90" t="str">
        <f>IF(AND($K44=$P$7,$B44&lt;'1121'!$N$9),"x","")</f>
        <v/>
      </c>
      <c r="S44" s="90" t="str">
        <f>IF(AND($B44&gt;='1331'!$I$9,$B44&lt;='1331'!$J$9,OR($J44=$S$7,$K44=$S$7)),"x","")</f>
        <v/>
      </c>
      <c r="T44" s="90" t="str">
        <f>IF(AND($J44=$S$7,$B44&lt;'1331'!$I$9),"x","")</f>
        <v/>
      </c>
      <c r="U44" s="90" t="str">
        <f>IF(AND($K44=$S$7,$B44&lt;'1331'!$I$9),"x","")</f>
        <v/>
      </c>
      <c r="V44" s="90" t="str">
        <f>IF(AND('3411-CT'!$E$9=TH!H44,OR(TH!J44=TH!$V$7,K44=TH!$V$7)),"x","")</f>
        <v/>
      </c>
      <c r="W44" s="90" t="str">
        <f>IF(OR(TH!J44=TH!$W$7,K44=TH!$W$7),"x","")</f>
        <v/>
      </c>
      <c r="X44" s="90" t="str">
        <f t="shared" si="3"/>
        <v>1</v>
      </c>
    </row>
    <row r="45" spans="1:24" s="77" customFormat="1" ht="15.75" customHeight="1">
      <c r="A45" s="158" t="str">
        <f>IF(B45&lt;&gt;"",IF(AND(B45&gt;=_TM1,B45&lt;=_TM2,OR(TH!J45="1111",TH!K45="1111")),TH!D45,""),"")</f>
        <v/>
      </c>
      <c r="B45" s="63">
        <f t="shared" si="2"/>
        <v>3</v>
      </c>
      <c r="C45" s="75">
        <v>41699</v>
      </c>
      <c r="D45" s="64" t="s">
        <v>8</v>
      </c>
      <c r="E45" s="64">
        <v>41699</v>
      </c>
      <c r="F45" s="67" t="s">
        <v>311</v>
      </c>
      <c r="G45" s="439"/>
      <c r="H45" s="79" t="s">
        <v>57</v>
      </c>
      <c r="I45" s="65">
        <v>76462320</v>
      </c>
      <c r="J45" s="66" t="s">
        <v>9</v>
      </c>
      <c r="K45" s="66" t="s">
        <v>34</v>
      </c>
      <c r="L45" s="90" t="str">
        <f>IF(AND('331-CT'!$E$7=TH!H45,OR(J45="331",K45="331")),"x","")</f>
        <v/>
      </c>
      <c r="M45" s="90" t="str">
        <f>IF(AND($B45&gt;='1111'!$N$10,$B45&lt;='1111'!$O$10,OR($J45=$M$7,$K45=$M$7)),"x","")</f>
        <v/>
      </c>
      <c r="N45" s="90" t="str">
        <f>IF(AND($J45=$M$7,$B45&lt;'1111'!$N$10),"x","")</f>
        <v/>
      </c>
      <c r="O45" s="90" t="str">
        <f>IF(AND($K45=$M$7,$B45&lt;'1111'!$N$10),"x","")</f>
        <v/>
      </c>
      <c r="P45" s="90" t="str">
        <f>IF(AND($B45&gt;='1121'!$N$9,$B45&lt;='1121'!$O$9,OR($J45=$P$7,$K45=$P$7)),"x","")</f>
        <v/>
      </c>
      <c r="Q45" s="90" t="str">
        <f>IF(AND($J45=$P$7,$B45&lt;'1121'!$N$9),"x","")</f>
        <v/>
      </c>
      <c r="R45" s="90" t="str">
        <f>IF(AND($K45=$P$7,$B45&lt;'1121'!$N$9),"x","")</f>
        <v>x</v>
      </c>
      <c r="S45" s="90" t="str">
        <f>IF(AND($B45&gt;='1331'!$I$9,$B45&lt;='1331'!$J$9,OR($J45=$S$7,$K45=$S$7)),"x","")</f>
        <v/>
      </c>
      <c r="T45" s="90" t="str">
        <f>IF(AND($J45=$S$7,$B45&lt;'1331'!$I$9),"x","")</f>
        <v/>
      </c>
      <c r="U45" s="90" t="str">
        <f>IF(AND($K45=$S$7,$B45&lt;'1331'!$I$9),"x","")</f>
        <v/>
      </c>
      <c r="V45" s="90" t="str">
        <f>IF(AND('3411-CT'!$E$9=TH!H45,OR(TH!J45=TH!$V$7,K45=TH!$V$7)),"x","")</f>
        <v/>
      </c>
      <c r="W45" s="90" t="str">
        <f>IF(OR(TH!J45=TH!$W$7,K45=TH!$W$7),"x","")</f>
        <v/>
      </c>
      <c r="X45" s="90" t="str">
        <f t="shared" si="3"/>
        <v>1</v>
      </c>
    </row>
    <row r="46" spans="1:24" s="77" customFormat="1" ht="15.75" customHeight="1">
      <c r="A46" s="158" t="str">
        <f>IF(B46&lt;&gt;"",IF(AND(B46&gt;=_TM1,B46&lt;=_TM2,OR(TH!J46="1111",TH!K46="1111")),TH!D46,""),"")</f>
        <v/>
      </c>
      <c r="B46" s="63">
        <f t="shared" si="2"/>
        <v>3</v>
      </c>
      <c r="C46" s="64">
        <v>41699</v>
      </c>
      <c r="D46" s="64" t="s">
        <v>8</v>
      </c>
      <c r="E46" s="64">
        <v>41699</v>
      </c>
      <c r="F46" s="67" t="s">
        <v>21</v>
      </c>
      <c r="G46" s="439"/>
      <c r="H46" s="79"/>
      <c r="I46" s="65">
        <v>32561</v>
      </c>
      <c r="J46" s="66" t="s">
        <v>140</v>
      </c>
      <c r="K46" s="66" t="s">
        <v>34</v>
      </c>
      <c r="L46" s="90" t="str">
        <f>IF(AND('331-CT'!$E$7=TH!H46,OR(J46="331",K46="331")),"x","")</f>
        <v/>
      </c>
      <c r="M46" s="90" t="str">
        <f>IF(AND($B46&gt;='1111'!$N$10,$B46&lt;='1111'!$O$10,OR($J46=$M$7,$K46=$M$7)),"x","")</f>
        <v/>
      </c>
      <c r="N46" s="90" t="str">
        <f>IF(AND($J46=$M$7,$B46&lt;'1111'!$N$10),"x","")</f>
        <v/>
      </c>
      <c r="O46" s="90" t="str">
        <f>IF(AND($K46=$M$7,$B46&lt;'1111'!$N$10),"x","")</f>
        <v/>
      </c>
      <c r="P46" s="90" t="str">
        <f>IF(AND($B46&gt;='1121'!$N$9,$B46&lt;='1121'!$O$9,OR($J46=$P$7,$K46=$P$7)),"x","")</f>
        <v/>
      </c>
      <c r="Q46" s="90" t="str">
        <f>IF(AND($J46=$P$7,$B46&lt;'1121'!$N$9),"x","")</f>
        <v/>
      </c>
      <c r="R46" s="90" t="str">
        <f>IF(AND($K46=$P$7,$B46&lt;'1121'!$N$9),"x","")</f>
        <v>x</v>
      </c>
      <c r="S46" s="90" t="str">
        <f>IF(AND($B46&gt;='1331'!$I$9,$B46&lt;='1331'!$J$9,OR($J46=$S$7,$K46=$S$7)),"x","")</f>
        <v/>
      </c>
      <c r="T46" s="90" t="str">
        <f>IF(AND($J46=$S$7,$B46&lt;'1331'!$I$9),"x","")</f>
        <v/>
      </c>
      <c r="U46" s="90" t="str">
        <f>IF(AND($K46=$S$7,$B46&lt;'1331'!$I$9),"x","")</f>
        <v/>
      </c>
      <c r="V46" s="90" t="str">
        <f>IF(AND('3411-CT'!$E$9=TH!H46,OR(TH!J46=TH!$V$7,K46=TH!$V$7)),"x","")</f>
        <v/>
      </c>
      <c r="W46" s="90" t="str">
        <f>IF(OR(TH!J46=TH!$W$7,K46=TH!$W$7),"x","")</f>
        <v/>
      </c>
      <c r="X46" s="90" t="str">
        <f t="shared" si="3"/>
        <v>1</v>
      </c>
    </row>
    <row r="47" spans="1:24" s="77" customFormat="1" ht="15.75" customHeight="1">
      <c r="A47" s="158" t="str">
        <f>IF(B47&lt;&gt;"",IF(AND(B47&gt;=_TM1,B47&lt;=_TM2,OR(TH!J47="1111",TH!K47="1111")),TH!D47,""),"")</f>
        <v/>
      </c>
      <c r="B47" s="63">
        <f t="shared" si="2"/>
        <v>3</v>
      </c>
      <c r="C47" s="64">
        <v>41699</v>
      </c>
      <c r="D47" s="64" t="s">
        <v>8</v>
      </c>
      <c r="E47" s="64">
        <v>41699</v>
      </c>
      <c r="F47" s="67" t="s">
        <v>22</v>
      </c>
      <c r="G47" s="439"/>
      <c r="H47" s="79"/>
      <c r="I47" s="65">
        <v>3256</v>
      </c>
      <c r="J47" s="66" t="s">
        <v>10</v>
      </c>
      <c r="K47" s="66" t="s">
        <v>34</v>
      </c>
      <c r="L47" s="90" t="str">
        <f>IF(AND('331-CT'!$E$7=TH!H47,OR(J47="331",K47="331")),"x","")</f>
        <v/>
      </c>
      <c r="M47" s="90" t="str">
        <f>IF(AND($B47&gt;='1111'!$N$10,$B47&lt;='1111'!$O$10,OR($J47=$M$7,$K47=$M$7)),"x","")</f>
        <v/>
      </c>
      <c r="N47" s="90" t="str">
        <f>IF(AND($J47=$M$7,$B47&lt;'1111'!$N$10),"x","")</f>
        <v/>
      </c>
      <c r="O47" s="90" t="str">
        <f>IF(AND($K47=$M$7,$B47&lt;'1111'!$N$10),"x","")</f>
        <v/>
      </c>
      <c r="P47" s="90" t="str">
        <f>IF(AND($B47&gt;='1121'!$N$9,$B47&lt;='1121'!$O$9,OR($J47=$P$7,$K47=$P$7)),"x","")</f>
        <v/>
      </c>
      <c r="Q47" s="90" t="str">
        <f>IF(AND($J47=$P$7,$B47&lt;'1121'!$N$9),"x","")</f>
        <v/>
      </c>
      <c r="R47" s="90" t="str">
        <f>IF(AND($K47=$P$7,$B47&lt;'1121'!$N$9),"x","")</f>
        <v>x</v>
      </c>
      <c r="S47" s="90" t="str">
        <f>IF(AND($B47&gt;='1331'!$I$9,$B47&lt;='1331'!$J$9,OR($J47=$S$7,$K47=$S$7)),"x","")</f>
        <v/>
      </c>
      <c r="T47" s="90" t="str">
        <f>IF(AND($J47=$S$7,$B47&lt;'1331'!$I$9),"x","")</f>
        <v>x</v>
      </c>
      <c r="U47" s="90" t="str">
        <f>IF(AND($K47=$S$7,$B47&lt;'1331'!$I$9),"x","")</f>
        <v/>
      </c>
      <c r="V47" s="90" t="str">
        <f>IF(AND('3411-CT'!$E$9=TH!H47,OR(TH!J47=TH!$V$7,K47=TH!$V$7)),"x","")</f>
        <v/>
      </c>
      <c r="W47" s="90" t="str">
        <f>IF(OR(TH!J47=TH!$W$7,K47=TH!$W$7),"x","")</f>
        <v/>
      </c>
      <c r="X47" s="90" t="str">
        <f t="shared" si="3"/>
        <v>1</v>
      </c>
    </row>
    <row r="48" spans="1:24" s="77" customFormat="1" ht="15.75" customHeight="1">
      <c r="A48" s="158" t="str">
        <f>IF(B48&lt;&gt;"",IF(AND(B48&gt;=_TM1,B48&lt;=_TM2,OR(TH!J48="1111",TH!K48="1111")),TH!D48,""),"")</f>
        <v/>
      </c>
      <c r="B48" s="63">
        <f t="shared" si="2"/>
        <v>3</v>
      </c>
      <c r="C48" s="64">
        <v>41717</v>
      </c>
      <c r="D48" s="64" t="s">
        <v>8</v>
      </c>
      <c r="E48" s="64">
        <v>41717</v>
      </c>
      <c r="F48" s="67" t="s">
        <v>29</v>
      </c>
      <c r="G48" s="439"/>
      <c r="H48" s="79"/>
      <c r="I48" s="65">
        <v>30000</v>
      </c>
      <c r="J48" s="66" t="s">
        <v>140</v>
      </c>
      <c r="K48" s="66" t="s">
        <v>34</v>
      </c>
      <c r="L48" s="90" t="str">
        <f>IF(AND('331-CT'!$E$7=TH!H48,OR(J48="331",K48="331")),"x","")</f>
        <v/>
      </c>
      <c r="M48" s="90" t="str">
        <f>IF(AND($B48&gt;='1111'!$N$10,$B48&lt;='1111'!$O$10,OR($J48=$M$7,$K48=$M$7)),"x","")</f>
        <v/>
      </c>
      <c r="N48" s="90" t="str">
        <f>IF(AND($J48=$M$7,$B48&lt;'1111'!$N$10),"x","")</f>
        <v/>
      </c>
      <c r="O48" s="90" t="str">
        <f>IF(AND($K48=$M$7,$B48&lt;'1111'!$N$10),"x","")</f>
        <v/>
      </c>
      <c r="P48" s="90" t="str">
        <f>IF(AND($B48&gt;='1121'!$N$9,$B48&lt;='1121'!$O$9,OR($J48=$P$7,$K48=$P$7)),"x","")</f>
        <v/>
      </c>
      <c r="Q48" s="90" t="str">
        <f>IF(AND($J48=$P$7,$B48&lt;'1121'!$N$9),"x","")</f>
        <v/>
      </c>
      <c r="R48" s="90" t="str">
        <f>IF(AND($K48=$P$7,$B48&lt;'1121'!$N$9),"x","")</f>
        <v>x</v>
      </c>
      <c r="S48" s="90" t="str">
        <f>IF(AND($B48&gt;='1331'!$I$9,$B48&lt;='1331'!$J$9,OR($J48=$S$7,$K48=$S$7)),"x","")</f>
        <v/>
      </c>
      <c r="T48" s="90" t="str">
        <f>IF(AND($J48=$S$7,$B48&lt;'1331'!$I$9),"x","")</f>
        <v/>
      </c>
      <c r="U48" s="90" t="str">
        <f>IF(AND($K48=$S$7,$B48&lt;'1331'!$I$9),"x","")</f>
        <v/>
      </c>
      <c r="V48" s="90" t="str">
        <f>IF(AND('3411-CT'!$E$9=TH!H48,OR(TH!J48=TH!$V$7,K48=TH!$V$7)),"x","")</f>
        <v/>
      </c>
      <c r="W48" s="90" t="str">
        <f>IF(OR(TH!J48=TH!$W$7,K48=TH!$W$7),"x","")</f>
        <v/>
      </c>
      <c r="X48" s="90" t="str">
        <f t="shared" si="3"/>
        <v>1</v>
      </c>
    </row>
    <row r="49" spans="1:24" s="77" customFormat="1" ht="15.75" customHeight="1">
      <c r="A49" s="158" t="str">
        <f>IF(B49&lt;&gt;"",IF(AND(B49&gt;=_TM1,B49&lt;=_TM2,OR(TH!J49="1111",TH!K49="1111")),TH!D49,""),"")</f>
        <v/>
      </c>
      <c r="B49" s="63">
        <f t="shared" si="2"/>
        <v>3</v>
      </c>
      <c r="C49" s="64">
        <v>41717</v>
      </c>
      <c r="D49" s="64" t="s">
        <v>8</v>
      </c>
      <c r="E49" s="64">
        <v>41717</v>
      </c>
      <c r="F49" s="67" t="s">
        <v>26</v>
      </c>
      <c r="G49" s="439"/>
      <c r="H49" s="79"/>
      <c r="I49" s="65">
        <v>3000</v>
      </c>
      <c r="J49" s="66" t="s">
        <v>10</v>
      </c>
      <c r="K49" s="66" t="s">
        <v>34</v>
      </c>
      <c r="L49" s="90" t="str">
        <f>IF(AND('331-CT'!$E$7=TH!H49,OR(J49="331",K49="331")),"x","")</f>
        <v/>
      </c>
      <c r="M49" s="90" t="str">
        <f>IF(AND($B49&gt;='1111'!$N$10,$B49&lt;='1111'!$O$10,OR($J49=$M$7,$K49=$M$7)),"x","")</f>
        <v/>
      </c>
      <c r="N49" s="90" t="str">
        <f>IF(AND($J49=$M$7,$B49&lt;'1111'!$N$10),"x","")</f>
        <v/>
      </c>
      <c r="O49" s="90" t="str">
        <f>IF(AND($K49=$M$7,$B49&lt;'1111'!$N$10),"x","")</f>
        <v/>
      </c>
      <c r="P49" s="90" t="str">
        <f>IF(AND($B49&gt;='1121'!$N$9,$B49&lt;='1121'!$O$9,OR($J49=$P$7,$K49=$P$7)),"x","")</f>
        <v/>
      </c>
      <c r="Q49" s="90" t="str">
        <f>IF(AND($J49=$P$7,$B49&lt;'1121'!$N$9),"x","")</f>
        <v/>
      </c>
      <c r="R49" s="90" t="str">
        <f>IF(AND($K49=$P$7,$B49&lt;'1121'!$N$9),"x","")</f>
        <v>x</v>
      </c>
      <c r="S49" s="90" t="str">
        <f>IF(AND($B49&gt;='1331'!$I$9,$B49&lt;='1331'!$J$9,OR($J49=$S$7,$K49=$S$7)),"x","")</f>
        <v/>
      </c>
      <c r="T49" s="90" t="str">
        <f>IF(AND($J49=$S$7,$B49&lt;'1331'!$I$9),"x","")</f>
        <v>x</v>
      </c>
      <c r="U49" s="90" t="str">
        <f>IF(AND($K49=$S$7,$B49&lt;'1331'!$I$9),"x","")</f>
        <v/>
      </c>
      <c r="V49" s="90" t="str">
        <f>IF(AND('3411-CT'!$E$9=TH!H49,OR(TH!J49=TH!$V$7,K49=TH!$V$7)),"x","")</f>
        <v/>
      </c>
      <c r="W49" s="90" t="str">
        <f>IF(OR(TH!J49=TH!$W$7,K49=TH!$W$7),"x","")</f>
        <v/>
      </c>
      <c r="X49" s="90" t="str">
        <f t="shared" si="3"/>
        <v>1</v>
      </c>
    </row>
    <row r="50" spans="1:24" s="77" customFormat="1" ht="15.75" customHeight="1">
      <c r="A50" s="158" t="str">
        <f>IF(B50&lt;&gt;"",IF(AND(B50&gt;=_TM1,B50&lt;=_TM2,OR(TH!J50="1111",TH!K50="1111")),TH!D50,""),"")</f>
        <v/>
      </c>
      <c r="B50" s="63">
        <f t="shared" si="2"/>
        <v>3</v>
      </c>
      <c r="C50" s="64">
        <v>41717</v>
      </c>
      <c r="D50" s="64" t="s">
        <v>8</v>
      </c>
      <c r="E50" s="64">
        <v>41717</v>
      </c>
      <c r="F50" s="67" t="s">
        <v>305</v>
      </c>
      <c r="G50" s="439"/>
      <c r="H50" s="79"/>
      <c r="I50" s="65">
        <v>30000</v>
      </c>
      <c r="J50" s="66" t="s">
        <v>140</v>
      </c>
      <c r="K50" s="66" t="s">
        <v>34</v>
      </c>
      <c r="L50" s="90" t="str">
        <f>IF(AND('331-CT'!$E$7=TH!H50,OR(J50="331",K50="331")),"x","")</f>
        <v/>
      </c>
      <c r="M50" s="90" t="str">
        <f>IF(AND($B50&gt;='1111'!$N$10,$B50&lt;='1111'!$O$10,OR($J50=$M$7,$K50=$M$7)),"x","")</f>
        <v/>
      </c>
      <c r="N50" s="90" t="str">
        <f>IF(AND($J50=$M$7,$B50&lt;'1111'!$N$10),"x","")</f>
        <v/>
      </c>
      <c r="O50" s="90" t="str">
        <f>IF(AND($K50=$M$7,$B50&lt;'1111'!$N$10),"x","")</f>
        <v/>
      </c>
      <c r="P50" s="90" t="str">
        <f>IF(AND($B50&gt;='1121'!$N$9,$B50&lt;='1121'!$O$9,OR($J50=$P$7,$K50=$P$7)),"x","")</f>
        <v/>
      </c>
      <c r="Q50" s="90" t="str">
        <f>IF(AND($J50=$P$7,$B50&lt;'1121'!$N$9),"x","")</f>
        <v/>
      </c>
      <c r="R50" s="90" t="str">
        <f>IF(AND($K50=$P$7,$B50&lt;'1121'!$N$9),"x","")</f>
        <v>x</v>
      </c>
      <c r="S50" s="90" t="str">
        <f>IF(AND($B50&gt;='1331'!$I$9,$B50&lt;='1331'!$J$9,OR($J50=$S$7,$K50=$S$7)),"x","")</f>
        <v/>
      </c>
      <c r="T50" s="90" t="str">
        <f>IF(AND($J50=$S$7,$B50&lt;'1331'!$I$9),"x","")</f>
        <v/>
      </c>
      <c r="U50" s="90" t="str">
        <f>IF(AND($K50=$S$7,$B50&lt;'1331'!$I$9),"x","")</f>
        <v/>
      </c>
      <c r="V50" s="90" t="str">
        <f>IF(AND('3411-CT'!$E$9=TH!H50,OR(TH!J50=TH!$V$7,K50=TH!$V$7)),"x","")</f>
        <v/>
      </c>
      <c r="W50" s="90" t="str">
        <f>IF(OR(TH!J50=TH!$W$7,K50=TH!$W$7),"x","")</f>
        <v/>
      </c>
      <c r="X50" s="90" t="str">
        <f t="shared" si="3"/>
        <v>1</v>
      </c>
    </row>
    <row r="51" spans="1:24" s="77" customFormat="1" ht="15.75" customHeight="1">
      <c r="A51" s="158" t="str">
        <f>IF(B51&lt;&gt;"",IF(AND(B51&gt;=_TM1,B51&lt;=_TM2,OR(TH!J51="1111",TH!K51="1111")),TH!D51,""),"")</f>
        <v/>
      </c>
      <c r="B51" s="63">
        <f t="shared" si="2"/>
        <v>3</v>
      </c>
      <c r="C51" s="64">
        <v>41717</v>
      </c>
      <c r="D51" s="64" t="s">
        <v>8</v>
      </c>
      <c r="E51" s="64">
        <v>41717</v>
      </c>
      <c r="F51" s="67" t="s">
        <v>26</v>
      </c>
      <c r="G51" s="439"/>
      <c r="H51" s="79"/>
      <c r="I51" s="65">
        <v>3000</v>
      </c>
      <c r="J51" s="66" t="s">
        <v>10</v>
      </c>
      <c r="K51" s="66" t="s">
        <v>34</v>
      </c>
      <c r="L51" s="90" t="str">
        <f>IF(AND('331-CT'!$E$7=TH!H51,OR(J51="331",K51="331")),"x","")</f>
        <v/>
      </c>
      <c r="M51" s="90" t="str">
        <f>IF(AND($B51&gt;='1111'!$N$10,$B51&lt;='1111'!$O$10,OR($J51=$M$7,$K51=$M$7)),"x","")</f>
        <v/>
      </c>
      <c r="N51" s="90" t="str">
        <f>IF(AND($J51=$M$7,$B51&lt;'1111'!$N$10),"x","")</f>
        <v/>
      </c>
      <c r="O51" s="90" t="str">
        <f>IF(AND($K51=$M$7,$B51&lt;'1111'!$N$10),"x","")</f>
        <v/>
      </c>
      <c r="P51" s="90" t="str">
        <f>IF(AND($B51&gt;='1121'!$N$9,$B51&lt;='1121'!$O$9,OR($J51=$P$7,$K51=$P$7)),"x","")</f>
        <v/>
      </c>
      <c r="Q51" s="90" t="str">
        <f>IF(AND($J51=$P$7,$B51&lt;'1121'!$N$9),"x","")</f>
        <v/>
      </c>
      <c r="R51" s="90" t="str">
        <f>IF(AND($K51=$P$7,$B51&lt;'1121'!$N$9),"x","")</f>
        <v>x</v>
      </c>
      <c r="S51" s="90" t="str">
        <f>IF(AND($B51&gt;='1331'!$I$9,$B51&lt;='1331'!$J$9,OR($J51=$S$7,$K51=$S$7)),"x","")</f>
        <v/>
      </c>
      <c r="T51" s="90" t="str">
        <f>IF(AND($J51=$S$7,$B51&lt;'1331'!$I$9),"x","")</f>
        <v>x</v>
      </c>
      <c r="U51" s="90" t="str">
        <f>IF(AND($K51=$S$7,$B51&lt;'1331'!$I$9),"x","")</f>
        <v/>
      </c>
      <c r="V51" s="90" t="str">
        <f>IF(AND('3411-CT'!$E$9=TH!H51,OR(TH!J51=TH!$V$7,K51=TH!$V$7)),"x","")</f>
        <v/>
      </c>
      <c r="W51" s="90" t="str">
        <f>IF(OR(TH!J51=TH!$W$7,K51=TH!$W$7),"x","")</f>
        <v/>
      </c>
      <c r="X51" s="90" t="str">
        <f t="shared" si="3"/>
        <v>1</v>
      </c>
    </row>
    <row r="52" spans="1:24" s="77" customFormat="1" ht="15.75" customHeight="1">
      <c r="A52" s="158" t="str">
        <f>IF(B52&lt;&gt;"",IF(AND(B52&gt;=_TM1,B52&lt;=_TM2,OR(TH!J52="1111",TH!K52="1111")),TH!D52,""),"")</f>
        <v/>
      </c>
      <c r="B52" s="63">
        <f t="shared" si="2"/>
        <v>3</v>
      </c>
      <c r="C52" s="75">
        <v>41717</v>
      </c>
      <c r="D52" s="64" t="s">
        <v>8</v>
      </c>
      <c r="E52" s="64">
        <v>41717</v>
      </c>
      <c r="F52" s="67" t="s">
        <v>28</v>
      </c>
      <c r="G52" s="439"/>
      <c r="H52" s="79"/>
      <c r="I52" s="65">
        <v>30000</v>
      </c>
      <c r="J52" s="66" t="s">
        <v>140</v>
      </c>
      <c r="K52" s="66" t="s">
        <v>34</v>
      </c>
      <c r="L52" s="90" t="str">
        <f>IF(AND('331-CT'!$E$7=TH!H52,OR(J52="331",K52="331")),"x","")</f>
        <v/>
      </c>
      <c r="M52" s="90" t="str">
        <f>IF(AND($B52&gt;='1111'!$N$10,$B52&lt;='1111'!$O$10,OR($J52=$M$7,$K52=$M$7)),"x","")</f>
        <v/>
      </c>
      <c r="N52" s="90" t="str">
        <f>IF(AND($J52=$M$7,$B52&lt;'1111'!$N$10),"x","")</f>
        <v/>
      </c>
      <c r="O52" s="90" t="str">
        <f>IF(AND($K52=$M$7,$B52&lt;'1111'!$N$10),"x","")</f>
        <v/>
      </c>
      <c r="P52" s="90" t="str">
        <f>IF(AND($B52&gt;='1121'!$N$9,$B52&lt;='1121'!$O$9,OR($J52=$P$7,$K52=$P$7)),"x","")</f>
        <v/>
      </c>
      <c r="Q52" s="90" t="str">
        <f>IF(AND($J52=$P$7,$B52&lt;'1121'!$N$9),"x","")</f>
        <v/>
      </c>
      <c r="R52" s="90" t="str">
        <f>IF(AND($K52=$P$7,$B52&lt;'1121'!$N$9),"x","")</f>
        <v>x</v>
      </c>
      <c r="S52" s="90" t="str">
        <f>IF(AND($B52&gt;='1331'!$I$9,$B52&lt;='1331'!$J$9,OR($J52=$S$7,$K52=$S$7)),"x","")</f>
        <v/>
      </c>
      <c r="T52" s="90" t="str">
        <f>IF(AND($J52=$S$7,$B52&lt;'1331'!$I$9),"x","")</f>
        <v/>
      </c>
      <c r="U52" s="90" t="str">
        <f>IF(AND($K52=$S$7,$B52&lt;'1331'!$I$9),"x","")</f>
        <v/>
      </c>
      <c r="V52" s="90" t="str">
        <f>IF(AND('3411-CT'!$E$9=TH!H52,OR(TH!J52=TH!$V$7,K52=TH!$V$7)),"x","")</f>
        <v/>
      </c>
      <c r="W52" s="90" t="str">
        <f>IF(OR(TH!J52=TH!$W$7,K52=TH!$W$7),"x","")</f>
        <v/>
      </c>
      <c r="X52" s="90" t="str">
        <f t="shared" si="3"/>
        <v>1</v>
      </c>
    </row>
    <row r="53" spans="1:24" s="77" customFormat="1" ht="15.75" customHeight="1">
      <c r="A53" s="158" t="str">
        <f>IF(B53&lt;&gt;"",IF(AND(B53&gt;=_TM1,B53&lt;=_TM2,OR(TH!J53="1111",TH!K53="1111")),TH!D53,""),"")</f>
        <v/>
      </c>
      <c r="B53" s="63">
        <f t="shared" si="2"/>
        <v>3</v>
      </c>
      <c r="C53" s="64">
        <v>41717</v>
      </c>
      <c r="D53" s="64" t="s">
        <v>8</v>
      </c>
      <c r="E53" s="64">
        <v>41717</v>
      </c>
      <c r="F53" s="67" t="s">
        <v>26</v>
      </c>
      <c r="G53" s="439"/>
      <c r="H53" s="79"/>
      <c r="I53" s="65">
        <v>3000</v>
      </c>
      <c r="J53" s="66" t="s">
        <v>10</v>
      </c>
      <c r="K53" s="66" t="s">
        <v>34</v>
      </c>
      <c r="L53" s="90" t="str">
        <f>IF(AND('331-CT'!$E$7=TH!H53,OR(J53="331",K53="331")),"x","")</f>
        <v/>
      </c>
      <c r="M53" s="90" t="str">
        <f>IF(AND($B53&gt;='1111'!$N$10,$B53&lt;='1111'!$O$10,OR($J53=$M$7,$K53=$M$7)),"x","")</f>
        <v/>
      </c>
      <c r="N53" s="90" t="str">
        <f>IF(AND($J53=$M$7,$B53&lt;'1111'!$N$10),"x","")</f>
        <v/>
      </c>
      <c r="O53" s="90" t="str">
        <f>IF(AND($K53=$M$7,$B53&lt;'1111'!$N$10),"x","")</f>
        <v/>
      </c>
      <c r="P53" s="90" t="str">
        <f>IF(AND($B53&gt;='1121'!$N$9,$B53&lt;='1121'!$O$9,OR($J53=$P$7,$K53=$P$7)),"x","")</f>
        <v/>
      </c>
      <c r="Q53" s="90" t="str">
        <f>IF(AND($J53=$P$7,$B53&lt;'1121'!$N$9),"x","")</f>
        <v/>
      </c>
      <c r="R53" s="90" t="str">
        <f>IF(AND($K53=$P$7,$B53&lt;'1121'!$N$9),"x","")</f>
        <v>x</v>
      </c>
      <c r="S53" s="90" t="str">
        <f>IF(AND($B53&gt;='1331'!$I$9,$B53&lt;='1331'!$J$9,OR($J53=$S$7,$K53=$S$7)),"x","")</f>
        <v/>
      </c>
      <c r="T53" s="90" t="str">
        <f>IF(AND($J53=$S$7,$B53&lt;'1331'!$I$9),"x","")</f>
        <v>x</v>
      </c>
      <c r="U53" s="90" t="str">
        <f>IF(AND($K53=$S$7,$B53&lt;'1331'!$I$9),"x","")</f>
        <v/>
      </c>
      <c r="V53" s="90" t="str">
        <f>IF(AND('3411-CT'!$E$9=TH!H53,OR(TH!J53=TH!$V$7,K53=TH!$V$7)),"x","")</f>
        <v/>
      </c>
      <c r="W53" s="90" t="str">
        <f>IF(OR(TH!J53=TH!$W$7,K53=TH!$W$7),"x","")</f>
        <v/>
      </c>
      <c r="X53" s="90" t="str">
        <f t="shared" si="3"/>
        <v>1</v>
      </c>
    </row>
    <row r="54" spans="1:24" s="77" customFormat="1" ht="15.75" customHeight="1">
      <c r="A54" s="158" t="str">
        <f>IF(B54&lt;&gt;"",IF(AND(B54&gt;=_TM1,B54&lt;=_TM2,OR(TH!J54="1111",TH!K54="1111")),TH!D54,""),"")</f>
        <v/>
      </c>
      <c r="B54" s="63">
        <f t="shared" si="2"/>
        <v>3</v>
      </c>
      <c r="C54" s="64">
        <v>41718</v>
      </c>
      <c r="D54" s="64" t="s">
        <v>80</v>
      </c>
      <c r="E54" s="64">
        <v>41718</v>
      </c>
      <c r="F54" s="67" t="s">
        <v>191</v>
      </c>
      <c r="G54" s="439"/>
      <c r="H54" s="79" t="s">
        <v>165</v>
      </c>
      <c r="I54" s="65">
        <v>133200000</v>
      </c>
      <c r="J54" s="66" t="s">
        <v>34</v>
      </c>
      <c r="K54" s="66" t="s">
        <v>101</v>
      </c>
      <c r="L54" s="90" t="str">
        <f>IF(AND('331-CT'!$E$7=TH!H54,OR(J54="331",K54="331")),"x","")</f>
        <v/>
      </c>
      <c r="M54" s="90" t="str">
        <f>IF(AND($B54&gt;='1111'!$N$10,$B54&lt;='1111'!$O$10,OR($J54=$M$7,$K54=$M$7)),"x","")</f>
        <v/>
      </c>
      <c r="N54" s="90" t="str">
        <f>IF(AND($J54=$M$7,$B54&lt;'1111'!$N$10),"x","")</f>
        <v/>
      </c>
      <c r="O54" s="90" t="str">
        <f>IF(AND($K54=$M$7,$B54&lt;'1111'!$N$10),"x","")</f>
        <v>x</v>
      </c>
      <c r="P54" s="90" t="str">
        <f>IF(AND($B54&gt;='1121'!$N$9,$B54&lt;='1121'!$O$9,OR($J54=$P$7,$K54=$P$7)),"x","")</f>
        <v/>
      </c>
      <c r="Q54" s="90" t="str">
        <f>IF(AND($J54=$P$7,$B54&lt;'1121'!$N$9),"x","")</f>
        <v>x</v>
      </c>
      <c r="R54" s="90" t="str">
        <f>IF(AND($K54=$P$7,$B54&lt;'1121'!$N$9),"x","")</f>
        <v/>
      </c>
      <c r="S54" s="90" t="str">
        <f>IF(AND($B54&gt;='1331'!$I$9,$B54&lt;='1331'!$J$9,OR($J54=$S$7,$K54=$S$7)),"x","")</f>
        <v/>
      </c>
      <c r="T54" s="90" t="str">
        <f>IF(AND($J54=$S$7,$B54&lt;'1331'!$I$9),"x","")</f>
        <v/>
      </c>
      <c r="U54" s="90" t="str">
        <f>IF(AND($K54=$S$7,$B54&lt;'1331'!$I$9),"x","")</f>
        <v/>
      </c>
      <c r="V54" s="90" t="str">
        <f>IF(AND('3411-CT'!$E$9=TH!H54,OR(TH!J54=TH!$V$7,K54=TH!$V$7)),"x","")</f>
        <v/>
      </c>
      <c r="W54" s="90" t="str">
        <f>IF(OR(TH!J54=TH!$W$7,K54=TH!$W$7),"x","")</f>
        <v/>
      </c>
      <c r="X54" s="90" t="str">
        <f t="shared" si="3"/>
        <v>1</v>
      </c>
    </row>
    <row r="55" spans="1:24" s="77" customFormat="1" ht="15.75" customHeight="1">
      <c r="A55" s="158" t="str">
        <f>IF(B55&lt;&gt;"",IF(AND(B55&gt;=_TM1,B55&lt;=_TM2,OR(TH!J55="1111",TH!K55="1111")),TH!D55,""),"")</f>
        <v/>
      </c>
      <c r="B55" s="63">
        <f t="shared" si="2"/>
        <v>3</v>
      </c>
      <c r="C55" s="64">
        <v>41718</v>
      </c>
      <c r="D55" s="64" t="s">
        <v>8</v>
      </c>
      <c r="E55" s="64">
        <v>41718</v>
      </c>
      <c r="F55" s="67" t="s">
        <v>311</v>
      </c>
      <c r="G55" s="439"/>
      <c r="H55" s="79" t="s">
        <v>57</v>
      </c>
      <c r="I55" s="65">
        <v>133147080</v>
      </c>
      <c r="J55" s="66" t="s">
        <v>9</v>
      </c>
      <c r="K55" s="66" t="s">
        <v>34</v>
      </c>
      <c r="L55" s="90" t="str">
        <f>IF(AND('331-CT'!$E$7=TH!H55,OR(J55="331",K55="331")),"x","")</f>
        <v/>
      </c>
      <c r="M55" s="90" t="str">
        <f>IF(AND($B55&gt;='1111'!$N$10,$B55&lt;='1111'!$O$10,OR($J55=$M$7,$K55=$M$7)),"x","")</f>
        <v/>
      </c>
      <c r="N55" s="90" t="str">
        <f>IF(AND($J55=$M$7,$B55&lt;'1111'!$N$10),"x","")</f>
        <v/>
      </c>
      <c r="O55" s="90" t="str">
        <f>IF(AND($K55=$M$7,$B55&lt;'1111'!$N$10),"x","")</f>
        <v/>
      </c>
      <c r="P55" s="90" t="str">
        <f>IF(AND($B55&gt;='1121'!$N$9,$B55&lt;='1121'!$O$9,OR($J55=$P$7,$K55=$P$7)),"x","")</f>
        <v/>
      </c>
      <c r="Q55" s="90" t="str">
        <f>IF(AND($J55=$P$7,$B55&lt;'1121'!$N$9),"x","")</f>
        <v/>
      </c>
      <c r="R55" s="90" t="str">
        <f>IF(AND($K55=$P$7,$B55&lt;'1121'!$N$9),"x","")</f>
        <v>x</v>
      </c>
      <c r="S55" s="90" t="str">
        <f>IF(AND($B55&gt;='1331'!$I$9,$B55&lt;='1331'!$J$9,OR($J55=$S$7,$K55=$S$7)),"x","")</f>
        <v/>
      </c>
      <c r="T55" s="90" t="str">
        <f>IF(AND($J55=$S$7,$B55&lt;'1331'!$I$9),"x","")</f>
        <v/>
      </c>
      <c r="U55" s="90" t="str">
        <f>IF(AND($K55=$S$7,$B55&lt;'1331'!$I$9),"x","")</f>
        <v/>
      </c>
      <c r="V55" s="90" t="str">
        <f>IF(AND('3411-CT'!$E$9=TH!H55,OR(TH!J55=TH!$V$7,K55=TH!$V$7)),"x","")</f>
        <v/>
      </c>
      <c r="W55" s="90" t="str">
        <f>IF(OR(TH!J55=TH!$W$7,K55=TH!$W$7),"x","")</f>
        <v/>
      </c>
      <c r="X55" s="90" t="str">
        <f t="shared" si="3"/>
        <v>1</v>
      </c>
    </row>
    <row r="56" spans="1:24" s="77" customFormat="1" ht="15.75" customHeight="1">
      <c r="A56" s="158" t="str">
        <f>IF(B56&lt;&gt;"",IF(AND(B56&gt;=_TM1,B56&lt;=_TM2,OR(TH!J56="1111",TH!K56="1111")),TH!D56,""),"")</f>
        <v/>
      </c>
      <c r="B56" s="63">
        <f t="shared" si="2"/>
        <v>3</v>
      </c>
      <c r="C56" s="64">
        <v>41718</v>
      </c>
      <c r="D56" s="64" t="s">
        <v>8</v>
      </c>
      <c r="E56" s="64">
        <v>41718</v>
      </c>
      <c r="F56" s="67" t="s">
        <v>21</v>
      </c>
      <c r="G56" s="439"/>
      <c r="H56" s="79"/>
      <c r="I56" s="65">
        <v>52911</v>
      </c>
      <c r="J56" s="66" t="s">
        <v>140</v>
      </c>
      <c r="K56" s="66" t="s">
        <v>34</v>
      </c>
      <c r="L56" s="90" t="str">
        <f>IF(AND('331-CT'!$E$7=TH!H56,OR(J56="331",K56="331")),"x","")</f>
        <v/>
      </c>
      <c r="M56" s="90" t="str">
        <f>IF(AND($B56&gt;='1111'!$N$10,$B56&lt;='1111'!$O$10,OR($J56=$M$7,$K56=$M$7)),"x","")</f>
        <v/>
      </c>
      <c r="N56" s="90" t="str">
        <f>IF(AND($J56=$M$7,$B56&lt;'1111'!$N$10),"x","")</f>
        <v/>
      </c>
      <c r="O56" s="90" t="str">
        <f>IF(AND($K56=$M$7,$B56&lt;'1111'!$N$10),"x","")</f>
        <v/>
      </c>
      <c r="P56" s="90" t="str">
        <f>IF(AND($B56&gt;='1121'!$N$9,$B56&lt;='1121'!$O$9,OR($J56=$P$7,$K56=$P$7)),"x","")</f>
        <v/>
      </c>
      <c r="Q56" s="90" t="str">
        <f>IF(AND($J56=$P$7,$B56&lt;'1121'!$N$9),"x","")</f>
        <v/>
      </c>
      <c r="R56" s="90" t="str">
        <f>IF(AND($K56=$P$7,$B56&lt;'1121'!$N$9),"x","")</f>
        <v>x</v>
      </c>
      <c r="S56" s="90" t="str">
        <f>IF(AND($B56&gt;='1331'!$I$9,$B56&lt;='1331'!$J$9,OR($J56=$S$7,$K56=$S$7)),"x","")</f>
        <v/>
      </c>
      <c r="T56" s="90" t="str">
        <f>IF(AND($J56=$S$7,$B56&lt;'1331'!$I$9),"x","")</f>
        <v/>
      </c>
      <c r="U56" s="90" t="str">
        <f>IF(AND($K56=$S$7,$B56&lt;'1331'!$I$9),"x","")</f>
        <v/>
      </c>
      <c r="V56" s="90" t="str">
        <f>IF(AND('3411-CT'!$E$9=TH!H56,OR(TH!J56=TH!$V$7,K56=TH!$V$7)),"x","")</f>
        <v/>
      </c>
      <c r="W56" s="90" t="str">
        <f>IF(OR(TH!J56=TH!$W$7,K56=TH!$W$7),"x","")</f>
        <v/>
      </c>
      <c r="X56" s="90" t="str">
        <f t="shared" si="3"/>
        <v>1</v>
      </c>
    </row>
    <row r="57" spans="1:24" s="77" customFormat="1" ht="15.75" customHeight="1">
      <c r="A57" s="158" t="str">
        <f>IF(B57&lt;&gt;"",IF(AND(B57&gt;=_TM1,B57&lt;=_TM2,OR(TH!J57="1111",TH!K57="1111")),TH!D57,""),"")</f>
        <v/>
      </c>
      <c r="B57" s="63">
        <f t="shared" si="2"/>
        <v>3</v>
      </c>
      <c r="C57" s="64">
        <v>41718</v>
      </c>
      <c r="D57" s="64" t="s">
        <v>8</v>
      </c>
      <c r="E57" s="64">
        <v>41718</v>
      </c>
      <c r="F57" s="67" t="s">
        <v>22</v>
      </c>
      <c r="G57" s="439"/>
      <c r="H57" s="79"/>
      <c r="I57" s="65">
        <v>5291</v>
      </c>
      <c r="J57" s="66" t="s">
        <v>10</v>
      </c>
      <c r="K57" s="66" t="s">
        <v>34</v>
      </c>
      <c r="L57" s="90" t="str">
        <f>IF(AND('331-CT'!$E$7=TH!H57,OR(J57="331",K57="331")),"x","")</f>
        <v/>
      </c>
      <c r="M57" s="90" t="str">
        <f>IF(AND($B57&gt;='1111'!$N$10,$B57&lt;='1111'!$O$10,OR($J57=$M$7,$K57=$M$7)),"x","")</f>
        <v/>
      </c>
      <c r="N57" s="90" t="str">
        <f>IF(AND($J57=$M$7,$B57&lt;'1111'!$N$10),"x","")</f>
        <v/>
      </c>
      <c r="O57" s="90" t="str">
        <f>IF(AND($K57=$M$7,$B57&lt;'1111'!$N$10),"x","")</f>
        <v/>
      </c>
      <c r="P57" s="90" t="str">
        <f>IF(AND($B57&gt;='1121'!$N$9,$B57&lt;='1121'!$O$9,OR($J57=$P$7,$K57=$P$7)),"x","")</f>
        <v/>
      </c>
      <c r="Q57" s="90" t="str">
        <f>IF(AND($J57=$P$7,$B57&lt;'1121'!$N$9),"x","")</f>
        <v/>
      </c>
      <c r="R57" s="90" t="str">
        <f>IF(AND($K57=$P$7,$B57&lt;'1121'!$N$9),"x","")</f>
        <v>x</v>
      </c>
      <c r="S57" s="90" t="str">
        <f>IF(AND($B57&gt;='1331'!$I$9,$B57&lt;='1331'!$J$9,OR($J57=$S$7,$K57=$S$7)),"x","")</f>
        <v/>
      </c>
      <c r="T57" s="90" t="str">
        <f>IF(AND($J57=$S$7,$B57&lt;'1331'!$I$9),"x","")</f>
        <v>x</v>
      </c>
      <c r="U57" s="90" t="str">
        <f>IF(AND($K57=$S$7,$B57&lt;'1331'!$I$9),"x","")</f>
        <v/>
      </c>
      <c r="V57" s="90" t="str">
        <f>IF(AND('3411-CT'!$E$9=TH!H57,OR(TH!J57=TH!$V$7,K57=TH!$V$7)),"x","")</f>
        <v/>
      </c>
      <c r="W57" s="90" t="str">
        <f>IF(OR(TH!J57=TH!$W$7,K57=TH!$W$7),"x","")</f>
        <v/>
      </c>
      <c r="X57" s="90" t="str">
        <f t="shared" si="3"/>
        <v>1</v>
      </c>
    </row>
    <row r="58" spans="1:24" s="77" customFormat="1" ht="15.75" customHeight="1">
      <c r="A58" s="158" t="str">
        <f>IF(B58&lt;&gt;"",IF(AND(B58&gt;=_TM1,B58&lt;=_TM2,OR(TH!J58="1111",TH!K58="1111")),TH!D58,""),"")</f>
        <v/>
      </c>
      <c r="B58" s="63">
        <f t="shared" si="2"/>
        <v>3</v>
      </c>
      <c r="C58" s="64">
        <v>41722</v>
      </c>
      <c r="D58" s="64" t="s">
        <v>81</v>
      </c>
      <c r="E58" s="64">
        <v>41722</v>
      </c>
      <c r="F58" s="67" t="s">
        <v>191</v>
      </c>
      <c r="G58" s="439"/>
      <c r="H58" s="79" t="s">
        <v>165</v>
      </c>
      <c r="I58" s="65">
        <v>30000000</v>
      </c>
      <c r="J58" s="66" t="s">
        <v>34</v>
      </c>
      <c r="K58" s="66" t="s">
        <v>101</v>
      </c>
      <c r="L58" s="90" t="str">
        <f>IF(AND('331-CT'!$E$7=TH!H58,OR(J58="331",K58="331")),"x","")</f>
        <v/>
      </c>
      <c r="M58" s="90" t="str">
        <f>IF(AND($B58&gt;='1111'!$N$10,$B58&lt;='1111'!$O$10,OR($J58=$M$7,$K58=$M$7)),"x","")</f>
        <v/>
      </c>
      <c r="N58" s="90" t="str">
        <f>IF(AND($J58=$M$7,$B58&lt;'1111'!$N$10),"x","")</f>
        <v/>
      </c>
      <c r="O58" s="90" t="str">
        <f>IF(AND($K58=$M$7,$B58&lt;'1111'!$N$10),"x","")</f>
        <v>x</v>
      </c>
      <c r="P58" s="90" t="str">
        <f>IF(AND($B58&gt;='1121'!$N$9,$B58&lt;='1121'!$O$9,OR($J58=$P$7,$K58=$P$7)),"x","")</f>
        <v/>
      </c>
      <c r="Q58" s="90" t="str">
        <f>IF(AND($J58=$P$7,$B58&lt;'1121'!$N$9),"x","")</f>
        <v>x</v>
      </c>
      <c r="R58" s="90" t="str">
        <f>IF(AND($K58=$P$7,$B58&lt;'1121'!$N$9),"x","")</f>
        <v/>
      </c>
      <c r="S58" s="90" t="str">
        <f>IF(AND($B58&gt;='1331'!$I$9,$B58&lt;='1331'!$J$9,OR($J58=$S$7,$K58=$S$7)),"x","")</f>
        <v/>
      </c>
      <c r="T58" s="90" t="str">
        <f>IF(AND($J58=$S$7,$B58&lt;'1331'!$I$9),"x","")</f>
        <v/>
      </c>
      <c r="U58" s="90" t="str">
        <f>IF(AND($K58=$S$7,$B58&lt;'1331'!$I$9),"x","")</f>
        <v/>
      </c>
      <c r="V58" s="90" t="str">
        <f>IF(AND('3411-CT'!$E$9=TH!H58,OR(TH!J58=TH!$V$7,K58=TH!$V$7)),"x","")</f>
        <v/>
      </c>
      <c r="W58" s="90" t="str">
        <f>IF(OR(TH!J58=TH!$W$7,K58=TH!$W$7),"x","")</f>
        <v/>
      </c>
      <c r="X58" s="90" t="str">
        <f t="shared" si="3"/>
        <v>1</v>
      </c>
    </row>
    <row r="59" spans="1:24" s="77" customFormat="1" ht="15.75" customHeight="1">
      <c r="A59" s="158" t="str">
        <f>IF(B59&lt;&gt;"",IF(AND(B59&gt;=_TM1,B59&lt;=_TM2,OR(TH!J59="1111",TH!K59="1111")),TH!D59,""),"")</f>
        <v/>
      </c>
      <c r="B59" s="63">
        <f t="shared" si="2"/>
        <v>3</v>
      </c>
      <c r="C59" s="64">
        <v>41723</v>
      </c>
      <c r="D59" s="64" t="s">
        <v>8</v>
      </c>
      <c r="E59" s="64">
        <v>41723</v>
      </c>
      <c r="F59" s="67" t="s">
        <v>314</v>
      </c>
      <c r="G59" s="439"/>
      <c r="H59" s="79" t="s">
        <v>58</v>
      </c>
      <c r="I59" s="65">
        <v>30000000</v>
      </c>
      <c r="J59" s="66" t="s">
        <v>9</v>
      </c>
      <c r="K59" s="66" t="s">
        <v>34</v>
      </c>
      <c r="L59" s="90" t="str">
        <f>IF(AND('331-CT'!$E$7=TH!H59,OR(J59="331",K59="331")),"x","")</f>
        <v/>
      </c>
      <c r="M59" s="90" t="str">
        <f>IF(AND($B59&gt;='1111'!$N$10,$B59&lt;='1111'!$O$10,OR($J59=$M$7,$K59=$M$7)),"x","")</f>
        <v/>
      </c>
      <c r="N59" s="90" t="str">
        <f>IF(AND($J59=$M$7,$B59&lt;'1111'!$N$10),"x","")</f>
        <v/>
      </c>
      <c r="O59" s="90" t="str">
        <f>IF(AND($K59=$M$7,$B59&lt;'1111'!$N$10),"x","")</f>
        <v/>
      </c>
      <c r="P59" s="90" t="str">
        <f>IF(AND($B59&gt;='1121'!$N$9,$B59&lt;='1121'!$O$9,OR($J59=$P$7,$K59=$P$7)),"x","")</f>
        <v/>
      </c>
      <c r="Q59" s="90" t="str">
        <f>IF(AND($J59=$P$7,$B59&lt;'1121'!$N$9),"x","")</f>
        <v/>
      </c>
      <c r="R59" s="90" t="str">
        <f>IF(AND($K59=$P$7,$B59&lt;'1121'!$N$9),"x","")</f>
        <v>x</v>
      </c>
      <c r="S59" s="90" t="str">
        <f>IF(AND($B59&gt;='1331'!$I$9,$B59&lt;='1331'!$J$9,OR($J59=$S$7,$K59=$S$7)),"x","")</f>
        <v/>
      </c>
      <c r="T59" s="90" t="str">
        <f>IF(AND($J59=$S$7,$B59&lt;'1331'!$I$9),"x","")</f>
        <v/>
      </c>
      <c r="U59" s="90" t="str">
        <f>IF(AND($K59=$S$7,$B59&lt;'1331'!$I$9),"x","")</f>
        <v/>
      </c>
      <c r="V59" s="90" t="str">
        <f>IF(AND('3411-CT'!$E$9=TH!H59,OR(TH!J59=TH!$V$7,K59=TH!$V$7)),"x","")</f>
        <v/>
      </c>
      <c r="W59" s="90" t="str">
        <f>IF(OR(TH!J59=TH!$W$7,K59=TH!$W$7),"x","")</f>
        <v/>
      </c>
      <c r="X59" s="90" t="str">
        <f t="shared" si="3"/>
        <v>1</v>
      </c>
    </row>
    <row r="60" spans="1:24" s="77" customFormat="1" ht="15.75" customHeight="1">
      <c r="A60" s="158" t="str">
        <f>IF(B60&lt;&gt;"",IF(AND(B60&gt;=_TM1,B60&lt;=_TM2,OR(TH!J60="1111",TH!K60="1111")),TH!D60,""),"")</f>
        <v/>
      </c>
      <c r="B60" s="63">
        <f t="shared" si="2"/>
        <v>3</v>
      </c>
      <c r="C60" s="64">
        <v>41723</v>
      </c>
      <c r="D60" s="64" t="s">
        <v>8</v>
      </c>
      <c r="E60" s="64">
        <v>41723</v>
      </c>
      <c r="F60" s="67" t="s">
        <v>21</v>
      </c>
      <c r="G60" s="439"/>
      <c r="H60" s="79"/>
      <c r="I60" s="65">
        <v>20000</v>
      </c>
      <c r="J60" s="66" t="s">
        <v>140</v>
      </c>
      <c r="K60" s="66" t="s">
        <v>34</v>
      </c>
      <c r="L60" s="90" t="str">
        <f>IF(AND('331-CT'!$E$7=TH!H60,OR(J60="331",K60="331")),"x","")</f>
        <v/>
      </c>
      <c r="M60" s="90" t="str">
        <f>IF(AND($B60&gt;='1111'!$N$10,$B60&lt;='1111'!$O$10,OR($J60=$M$7,$K60=$M$7)),"x","")</f>
        <v/>
      </c>
      <c r="N60" s="90" t="str">
        <f>IF(AND($J60=$M$7,$B60&lt;'1111'!$N$10),"x","")</f>
        <v/>
      </c>
      <c r="O60" s="90" t="str">
        <f>IF(AND($K60=$M$7,$B60&lt;'1111'!$N$10),"x","")</f>
        <v/>
      </c>
      <c r="P60" s="90" t="str">
        <f>IF(AND($B60&gt;='1121'!$N$9,$B60&lt;='1121'!$O$9,OR($J60=$P$7,$K60=$P$7)),"x","")</f>
        <v/>
      </c>
      <c r="Q60" s="90" t="str">
        <f>IF(AND($J60=$P$7,$B60&lt;'1121'!$N$9),"x","")</f>
        <v/>
      </c>
      <c r="R60" s="90" t="str">
        <f>IF(AND($K60=$P$7,$B60&lt;'1121'!$N$9),"x","")</f>
        <v>x</v>
      </c>
      <c r="S60" s="90" t="str">
        <f>IF(AND($B60&gt;='1331'!$I$9,$B60&lt;='1331'!$J$9,OR($J60=$S$7,$K60=$S$7)),"x","")</f>
        <v/>
      </c>
      <c r="T60" s="90" t="str">
        <f>IF(AND($J60=$S$7,$B60&lt;'1331'!$I$9),"x","")</f>
        <v/>
      </c>
      <c r="U60" s="90" t="str">
        <f>IF(AND($K60=$S$7,$B60&lt;'1331'!$I$9),"x","")</f>
        <v/>
      </c>
      <c r="V60" s="90" t="str">
        <f>IF(AND('3411-CT'!$E$9=TH!H60,OR(TH!J60=TH!$V$7,K60=TH!$V$7)),"x","")</f>
        <v/>
      </c>
      <c r="W60" s="90" t="str">
        <f>IF(OR(TH!J60=TH!$W$7,K60=TH!$W$7),"x","")</f>
        <v/>
      </c>
      <c r="X60" s="90" t="str">
        <f t="shared" si="3"/>
        <v>1</v>
      </c>
    </row>
    <row r="61" spans="1:24" s="77" customFormat="1" ht="15.75" customHeight="1">
      <c r="A61" s="158" t="str">
        <f>IF(B61&lt;&gt;"",IF(AND(B61&gt;=_TM1,B61&lt;=_TM2,OR(TH!J61="1111",TH!K61="1111")),TH!D61,""),"")</f>
        <v/>
      </c>
      <c r="B61" s="63">
        <f t="shared" si="2"/>
        <v>3</v>
      </c>
      <c r="C61" s="64">
        <v>41723</v>
      </c>
      <c r="D61" s="64" t="s">
        <v>8</v>
      </c>
      <c r="E61" s="64">
        <v>41723</v>
      </c>
      <c r="F61" s="67" t="s">
        <v>22</v>
      </c>
      <c r="G61" s="439"/>
      <c r="H61" s="79"/>
      <c r="I61" s="65">
        <v>2000</v>
      </c>
      <c r="J61" s="66" t="s">
        <v>10</v>
      </c>
      <c r="K61" s="66" t="s">
        <v>34</v>
      </c>
      <c r="L61" s="90" t="str">
        <f>IF(AND('331-CT'!$E$7=TH!H61,OR(J61="331",K61="331")),"x","")</f>
        <v/>
      </c>
      <c r="M61" s="90" t="str">
        <f>IF(AND($B61&gt;='1111'!$N$10,$B61&lt;='1111'!$O$10,OR($J61=$M$7,$K61=$M$7)),"x","")</f>
        <v/>
      </c>
      <c r="N61" s="90" t="str">
        <f>IF(AND($J61=$M$7,$B61&lt;'1111'!$N$10),"x","")</f>
        <v/>
      </c>
      <c r="O61" s="90" t="str">
        <f>IF(AND($K61=$M$7,$B61&lt;'1111'!$N$10),"x","")</f>
        <v/>
      </c>
      <c r="P61" s="90" t="str">
        <f>IF(AND($B61&gt;='1121'!$N$9,$B61&lt;='1121'!$O$9,OR($J61=$P$7,$K61=$P$7)),"x","")</f>
        <v/>
      </c>
      <c r="Q61" s="90" t="str">
        <f>IF(AND($J61=$P$7,$B61&lt;'1121'!$N$9),"x","")</f>
        <v/>
      </c>
      <c r="R61" s="90" t="str">
        <f>IF(AND($K61=$P$7,$B61&lt;'1121'!$N$9),"x","")</f>
        <v>x</v>
      </c>
      <c r="S61" s="90" t="str">
        <f>IF(AND($B61&gt;='1331'!$I$9,$B61&lt;='1331'!$J$9,OR($J61=$S$7,$K61=$S$7)),"x","")</f>
        <v/>
      </c>
      <c r="T61" s="90" t="str">
        <f>IF(AND($J61=$S$7,$B61&lt;'1331'!$I$9),"x","")</f>
        <v>x</v>
      </c>
      <c r="U61" s="90" t="str">
        <f>IF(AND($K61=$S$7,$B61&lt;'1331'!$I$9),"x","")</f>
        <v/>
      </c>
      <c r="V61" s="90" t="str">
        <f>IF(AND('3411-CT'!$E$9=TH!H61,OR(TH!J61=TH!$V$7,K61=TH!$V$7)),"x","")</f>
        <v/>
      </c>
      <c r="W61" s="90" t="str">
        <f>IF(OR(TH!J61=TH!$W$7,K61=TH!$W$7),"x","")</f>
        <v/>
      </c>
      <c r="X61" s="90" t="str">
        <f t="shared" si="3"/>
        <v>1</v>
      </c>
    </row>
    <row r="62" spans="1:24" s="77" customFormat="1" ht="15.75" customHeight="1">
      <c r="A62" s="158" t="str">
        <f>IF(B62&lt;&gt;"",IF(AND(B62&gt;=_TM1,B62&lt;=_TM2,OR(TH!J62="1111",TH!K62="1111")),TH!D62,""),"")</f>
        <v/>
      </c>
      <c r="B62" s="63">
        <f t="shared" si="2"/>
        <v>4</v>
      </c>
      <c r="C62" s="64">
        <v>41743</v>
      </c>
      <c r="D62" s="64" t="s">
        <v>49</v>
      </c>
      <c r="E62" s="64">
        <v>41743</v>
      </c>
      <c r="F62" s="67" t="s">
        <v>315</v>
      </c>
      <c r="G62" s="439" t="s">
        <v>190</v>
      </c>
      <c r="H62" s="79" t="s">
        <v>56</v>
      </c>
      <c r="I62" s="65">
        <v>55000000</v>
      </c>
      <c r="J62" s="66" t="s">
        <v>214</v>
      </c>
      <c r="K62" s="66" t="s">
        <v>9</v>
      </c>
      <c r="L62" s="90" t="str">
        <f>IF(AND('331-CT'!$E$7=TH!H62,OR(J62="331",K62="331")),"x","")</f>
        <v/>
      </c>
      <c r="M62" s="90" t="str">
        <f>IF(AND($B62&gt;='1111'!$N$10,$B62&lt;='1111'!$O$10,OR($J62=$M$7,$K62=$M$7)),"x","")</f>
        <v/>
      </c>
      <c r="N62" s="90" t="str">
        <f>IF(AND($J62=$M$7,$B62&lt;'1111'!$N$10),"x","")</f>
        <v/>
      </c>
      <c r="O62" s="90" t="str">
        <f>IF(AND($K62=$M$7,$B62&lt;'1111'!$N$10),"x","")</f>
        <v/>
      </c>
      <c r="P62" s="90" t="str">
        <f>IF(AND($B62&gt;='1121'!$N$9,$B62&lt;='1121'!$O$9,OR($J62=$P$7,$K62=$P$7)),"x","")</f>
        <v/>
      </c>
      <c r="Q62" s="90" t="str">
        <f>IF(AND($J62=$P$7,$B62&lt;'1121'!$N$9),"x","")</f>
        <v/>
      </c>
      <c r="R62" s="90" t="str">
        <f>IF(AND($K62=$P$7,$B62&lt;'1121'!$N$9),"x","")</f>
        <v/>
      </c>
      <c r="S62" s="90" t="str">
        <f>IF(AND($B62&gt;='1331'!$I$9,$B62&lt;='1331'!$J$9,OR($J62=$S$7,$K62=$S$7)),"x","")</f>
        <v/>
      </c>
      <c r="T62" s="90" t="str">
        <f>IF(AND($J62=$S$7,$B62&lt;'1331'!$I$9),"x","")</f>
        <v/>
      </c>
      <c r="U62" s="90" t="str">
        <f>IF(AND($K62=$S$7,$B62&lt;'1331'!$I$9),"x","")</f>
        <v/>
      </c>
      <c r="V62" s="90" t="str">
        <f>IF(AND('3411-CT'!$E$9=TH!H62,OR(TH!J62=TH!$V$7,K62=TH!$V$7)),"x","")</f>
        <v/>
      </c>
      <c r="W62" s="90" t="str">
        <f>IF(OR(TH!J62=TH!$W$7,K62=TH!$W$7),"x","")</f>
        <v/>
      </c>
      <c r="X62" s="90" t="str">
        <f t="shared" si="3"/>
        <v>2</v>
      </c>
    </row>
    <row r="63" spans="1:24" s="77" customFormat="1" ht="15.75" customHeight="1">
      <c r="A63" s="158" t="str">
        <f>IF(B63&lt;&gt;"",IF(AND(B63&gt;=_TM1,B63&lt;=_TM2,OR(TH!J63="1111",TH!K63="1111")),TH!D63,""),"")</f>
        <v/>
      </c>
      <c r="B63" s="63">
        <f t="shared" si="2"/>
        <v>4</v>
      </c>
      <c r="C63" s="75">
        <v>41743</v>
      </c>
      <c r="D63" s="64" t="s">
        <v>49</v>
      </c>
      <c r="E63" s="64">
        <v>41743</v>
      </c>
      <c r="F63" s="67" t="s">
        <v>316</v>
      </c>
      <c r="G63" s="439" t="s">
        <v>190</v>
      </c>
      <c r="H63" s="79" t="s">
        <v>56</v>
      </c>
      <c r="I63" s="65">
        <v>5500000</v>
      </c>
      <c r="J63" s="66" t="s">
        <v>10</v>
      </c>
      <c r="K63" s="66" t="s">
        <v>9</v>
      </c>
      <c r="L63" s="90" t="str">
        <f>IF(AND('331-CT'!$E$7=TH!H63,OR(J63="331",K63="331")),"x","")</f>
        <v/>
      </c>
      <c r="M63" s="90" t="str">
        <f>IF(AND($B63&gt;='1111'!$N$10,$B63&lt;='1111'!$O$10,OR($J63=$M$7,$K63=$M$7)),"x","")</f>
        <v/>
      </c>
      <c r="N63" s="90" t="str">
        <f>IF(AND($J63=$M$7,$B63&lt;'1111'!$N$10),"x","")</f>
        <v/>
      </c>
      <c r="O63" s="90" t="str">
        <f>IF(AND($K63=$M$7,$B63&lt;'1111'!$N$10),"x","")</f>
        <v/>
      </c>
      <c r="P63" s="90" t="str">
        <f>IF(AND($B63&gt;='1121'!$N$9,$B63&lt;='1121'!$O$9,OR($J63=$P$7,$K63=$P$7)),"x","")</f>
        <v/>
      </c>
      <c r="Q63" s="90" t="str">
        <f>IF(AND($J63=$P$7,$B63&lt;'1121'!$N$9),"x","")</f>
        <v/>
      </c>
      <c r="R63" s="90" t="str">
        <f>IF(AND($K63=$P$7,$B63&lt;'1121'!$N$9),"x","")</f>
        <v/>
      </c>
      <c r="S63" s="90" t="str">
        <f>IF(AND($B63&gt;='1331'!$I$9,$B63&lt;='1331'!$J$9,OR($J63=$S$7,$K63=$S$7)),"x","")</f>
        <v/>
      </c>
      <c r="T63" s="90" t="str">
        <f>IF(AND($J63=$S$7,$B63&lt;'1331'!$I$9),"x","")</f>
        <v>x</v>
      </c>
      <c r="U63" s="90" t="str">
        <f>IF(AND($K63=$S$7,$B63&lt;'1331'!$I$9),"x","")</f>
        <v/>
      </c>
      <c r="V63" s="90" t="str">
        <f>IF(AND('3411-CT'!$E$9=TH!H63,OR(TH!J63=TH!$V$7,K63=TH!$V$7)),"x","")</f>
        <v/>
      </c>
      <c r="W63" s="90" t="str">
        <f>IF(OR(TH!J63=TH!$W$7,K63=TH!$W$7),"x","")</f>
        <v/>
      </c>
      <c r="X63" s="90" t="str">
        <f t="shared" si="3"/>
        <v>2</v>
      </c>
    </row>
    <row r="64" spans="1:24" s="77" customFormat="1" ht="15.75" customHeight="1">
      <c r="A64" s="158" t="str">
        <f>IF(B64&lt;&gt;"",IF(AND(B64&gt;=_TM1,B64&lt;=_TM2,OR(TH!J64="1111",TH!K64="1111")),TH!D64,""),"")</f>
        <v/>
      </c>
      <c r="B64" s="63">
        <f t="shared" si="2"/>
        <v>5</v>
      </c>
      <c r="C64" s="75">
        <v>41775</v>
      </c>
      <c r="D64" s="64" t="s">
        <v>45</v>
      </c>
      <c r="E64" s="64">
        <v>41775</v>
      </c>
      <c r="F64" s="67" t="s">
        <v>192</v>
      </c>
      <c r="G64" s="439"/>
      <c r="H64" s="79" t="s">
        <v>164</v>
      </c>
      <c r="I64" s="65">
        <v>33000000</v>
      </c>
      <c r="J64" s="66" t="s">
        <v>23</v>
      </c>
      <c r="K64" s="66" t="s">
        <v>101</v>
      </c>
      <c r="L64" s="90" t="str">
        <f>IF(AND('331-CT'!$E$7=TH!H64,OR(J64="331",K64="331")),"x","")</f>
        <v/>
      </c>
      <c r="M64" s="90" t="str">
        <f>IF(AND($B64&gt;='1111'!$N$10,$B64&lt;='1111'!$O$10,OR($J64=$M$7,$K64=$M$7)),"x","")</f>
        <v/>
      </c>
      <c r="N64" s="90" t="str">
        <f>IF(AND($J64=$M$7,$B64&lt;'1111'!$N$10),"x","")</f>
        <v/>
      </c>
      <c r="O64" s="90" t="str">
        <f>IF(AND($K64=$M$7,$B64&lt;'1111'!$N$10),"x","")</f>
        <v>x</v>
      </c>
      <c r="P64" s="90" t="str">
        <f>IF(AND($B64&gt;='1121'!$N$9,$B64&lt;='1121'!$O$9,OR($J64=$P$7,$K64=$P$7)),"x","")</f>
        <v/>
      </c>
      <c r="Q64" s="90" t="str">
        <f>IF(AND($J64=$P$7,$B64&lt;'1121'!$N$9),"x","")</f>
        <v/>
      </c>
      <c r="R64" s="90" t="str">
        <f>IF(AND($K64=$P$7,$B64&lt;'1121'!$N$9),"x","")</f>
        <v/>
      </c>
      <c r="S64" s="90" t="str">
        <f>IF(AND($B64&gt;='1331'!$I$9,$B64&lt;='1331'!$J$9,OR($J64=$S$7,$K64=$S$7)),"x","")</f>
        <v/>
      </c>
      <c r="T64" s="90" t="str">
        <f>IF(AND($J64=$S$7,$B64&lt;'1331'!$I$9),"x","")</f>
        <v/>
      </c>
      <c r="U64" s="90" t="str">
        <f>IF(AND($K64=$S$7,$B64&lt;'1331'!$I$9),"x","")</f>
        <v/>
      </c>
      <c r="V64" s="90" t="str">
        <f>IF(AND('3411-CT'!$E$9=TH!H64,OR(TH!J64=TH!$V$7,K64=TH!$V$7)),"x","")</f>
        <v/>
      </c>
      <c r="W64" s="90" t="str">
        <f>IF(OR(TH!J64=TH!$W$7,K64=TH!$W$7),"x","")</f>
        <v/>
      </c>
      <c r="X64" s="90" t="str">
        <f t="shared" si="3"/>
        <v>2</v>
      </c>
    </row>
    <row r="65" spans="1:24" s="77" customFormat="1" ht="15.75" customHeight="1">
      <c r="A65" s="158" t="str">
        <f>IF(B65&lt;&gt;"",IF(AND(B65&gt;=_TM1,B65&lt;=_TM2,OR(TH!J65="1111",TH!K65="1111")),TH!D65,""),"")</f>
        <v/>
      </c>
      <c r="B65" s="63">
        <f t="shared" si="2"/>
        <v>5</v>
      </c>
      <c r="C65" s="75">
        <v>41775</v>
      </c>
      <c r="D65" s="64" t="s">
        <v>11</v>
      </c>
      <c r="E65" s="64">
        <v>41775</v>
      </c>
      <c r="F65" s="67" t="s">
        <v>27</v>
      </c>
      <c r="G65" s="439"/>
      <c r="H65" s="79" t="s">
        <v>164</v>
      </c>
      <c r="I65" s="65">
        <v>33000000</v>
      </c>
      <c r="J65" s="68" t="s">
        <v>34</v>
      </c>
      <c r="K65" s="66" t="s">
        <v>23</v>
      </c>
      <c r="L65" s="90" t="str">
        <f>IF(AND('331-CT'!$E$7=TH!H65,OR(J65="331",K65="331")),"x","")</f>
        <v/>
      </c>
      <c r="M65" s="90" t="str">
        <f>IF(AND($B65&gt;='1111'!$N$10,$B65&lt;='1111'!$O$10,OR($J65=$M$7,$K65=$M$7)),"x","")</f>
        <v/>
      </c>
      <c r="N65" s="90" t="str">
        <f>IF(AND($J65=$M$7,$B65&lt;'1111'!$N$10),"x","")</f>
        <v/>
      </c>
      <c r="O65" s="90" t="str">
        <f>IF(AND($K65=$M$7,$B65&lt;'1111'!$N$10),"x","")</f>
        <v/>
      </c>
      <c r="P65" s="90" t="str">
        <f>IF(AND($B65&gt;='1121'!$N$9,$B65&lt;='1121'!$O$9,OR($J65=$P$7,$K65=$P$7)),"x","")</f>
        <v/>
      </c>
      <c r="Q65" s="90" t="str">
        <f>IF(AND($J65=$P$7,$B65&lt;'1121'!$N$9),"x","")</f>
        <v>x</v>
      </c>
      <c r="R65" s="90" t="str">
        <f>IF(AND($K65=$P$7,$B65&lt;'1121'!$N$9),"x","")</f>
        <v/>
      </c>
      <c r="S65" s="90" t="str">
        <f>IF(AND($B65&gt;='1331'!$I$9,$B65&lt;='1331'!$J$9,OR($J65=$S$7,$K65=$S$7)),"x","")</f>
        <v/>
      </c>
      <c r="T65" s="90" t="str">
        <f>IF(AND($J65=$S$7,$B65&lt;'1331'!$I$9),"x","")</f>
        <v/>
      </c>
      <c r="U65" s="90" t="str">
        <f>IF(AND($K65=$S$7,$B65&lt;'1331'!$I$9),"x","")</f>
        <v/>
      </c>
      <c r="V65" s="90" t="str">
        <f>IF(AND('3411-CT'!$E$9=TH!H65,OR(TH!J65=TH!$V$7,K65=TH!$V$7)),"x","")</f>
        <v/>
      </c>
      <c r="W65" s="90" t="str">
        <f>IF(OR(TH!J65=TH!$W$7,K65=TH!$W$7),"x","")</f>
        <v/>
      </c>
      <c r="X65" s="90" t="str">
        <f t="shared" si="3"/>
        <v>2</v>
      </c>
    </row>
    <row r="66" spans="1:24" s="77" customFormat="1" ht="15.75" customHeight="1">
      <c r="A66" s="158" t="str">
        <f>IF(B66&lt;&gt;"",IF(AND(B66&gt;=_TM1,B66&lt;=_TM2,OR(TH!J66="1111",TH!K66="1111")),TH!D66,""),"")</f>
        <v/>
      </c>
      <c r="B66" s="63">
        <f t="shared" si="2"/>
        <v>5</v>
      </c>
      <c r="C66" s="64">
        <v>41775</v>
      </c>
      <c r="D66" s="64" t="s">
        <v>8</v>
      </c>
      <c r="E66" s="64">
        <v>41775</v>
      </c>
      <c r="F66" s="67" t="s">
        <v>317</v>
      </c>
      <c r="G66" s="439"/>
      <c r="H66" s="79" t="s">
        <v>56</v>
      </c>
      <c r="I66" s="65">
        <v>33000000</v>
      </c>
      <c r="J66" s="66" t="s">
        <v>110</v>
      </c>
      <c r="K66" s="66" t="s">
        <v>34</v>
      </c>
      <c r="L66" s="90" t="str">
        <f>IF(AND('331-CT'!$E$7=TH!H66,OR(J66="331",K66="331")),"x","")</f>
        <v/>
      </c>
      <c r="M66" s="90" t="str">
        <f>IF(AND($B66&gt;='1111'!$N$10,$B66&lt;='1111'!$O$10,OR($J66=$M$7,$K66=$M$7)),"x","")</f>
        <v/>
      </c>
      <c r="N66" s="90" t="str">
        <f>IF(AND($J66=$M$7,$B66&lt;'1111'!$N$10),"x","")</f>
        <v/>
      </c>
      <c r="O66" s="90" t="str">
        <f>IF(AND($K66=$M$7,$B66&lt;'1111'!$N$10),"x","")</f>
        <v/>
      </c>
      <c r="P66" s="90" t="str">
        <f>IF(AND($B66&gt;='1121'!$N$9,$B66&lt;='1121'!$O$9,OR($J66=$P$7,$K66=$P$7)),"x","")</f>
        <v/>
      </c>
      <c r="Q66" s="90" t="str">
        <f>IF(AND($J66=$P$7,$B66&lt;'1121'!$N$9),"x","")</f>
        <v/>
      </c>
      <c r="R66" s="90" t="str">
        <f>IF(AND($K66=$P$7,$B66&lt;'1121'!$N$9),"x","")</f>
        <v>x</v>
      </c>
      <c r="S66" s="90" t="str">
        <f>IF(AND($B66&gt;='1331'!$I$9,$B66&lt;='1331'!$J$9,OR($J66=$S$7,$K66=$S$7)),"x","")</f>
        <v/>
      </c>
      <c r="T66" s="90" t="str">
        <f>IF(AND($J66=$S$7,$B66&lt;'1331'!$I$9),"x","")</f>
        <v/>
      </c>
      <c r="U66" s="90" t="str">
        <f>IF(AND($K66=$S$7,$B66&lt;'1331'!$I$9),"x","")</f>
        <v/>
      </c>
      <c r="V66" s="90" t="str">
        <f>IF(AND('3411-CT'!$E$9=TH!H66,OR(TH!J66=TH!$V$7,K66=TH!$V$7)),"x","")</f>
        <v/>
      </c>
      <c r="W66" s="90" t="str">
        <f>IF(OR(TH!J66=TH!$W$7,K66=TH!$W$7),"x","")</f>
        <v/>
      </c>
      <c r="X66" s="90" t="str">
        <f t="shared" si="3"/>
        <v>2</v>
      </c>
    </row>
    <row r="67" spans="1:24" s="77" customFormat="1" ht="15.75" customHeight="1">
      <c r="A67" s="158" t="str">
        <f>IF(B67&lt;&gt;"",IF(AND(B67&gt;=_TM1,B67&lt;=_TM2,OR(TH!J67="1111",TH!K67="1111")),TH!D67,""),"")</f>
        <v/>
      </c>
      <c r="B67" s="63">
        <f t="shared" si="2"/>
        <v>5</v>
      </c>
      <c r="C67" s="64">
        <v>41775</v>
      </c>
      <c r="D67" s="64" t="s">
        <v>8</v>
      </c>
      <c r="E67" s="64">
        <v>41775</v>
      </c>
      <c r="F67" s="67" t="s">
        <v>21</v>
      </c>
      <c r="G67" s="439"/>
      <c r="H67" s="79"/>
      <c r="I67" s="65">
        <v>25000</v>
      </c>
      <c r="J67" s="66" t="s">
        <v>140</v>
      </c>
      <c r="K67" s="66" t="s">
        <v>34</v>
      </c>
      <c r="L67" s="90" t="str">
        <f>IF(AND('331-CT'!$E$7=TH!H67,OR(J67="331",K67="331")),"x","")</f>
        <v/>
      </c>
      <c r="M67" s="90" t="str">
        <f>IF(AND($B67&gt;='1111'!$N$10,$B67&lt;='1111'!$O$10,OR($J67=$M$7,$K67=$M$7)),"x","")</f>
        <v/>
      </c>
      <c r="N67" s="90" t="str">
        <f>IF(AND($J67=$M$7,$B67&lt;'1111'!$N$10),"x","")</f>
        <v/>
      </c>
      <c r="O67" s="90" t="str">
        <f>IF(AND($K67=$M$7,$B67&lt;'1111'!$N$10),"x","")</f>
        <v/>
      </c>
      <c r="P67" s="90" t="str">
        <f>IF(AND($B67&gt;='1121'!$N$9,$B67&lt;='1121'!$O$9,OR($J67=$P$7,$K67=$P$7)),"x","")</f>
        <v/>
      </c>
      <c r="Q67" s="90" t="str">
        <f>IF(AND($J67=$P$7,$B67&lt;'1121'!$N$9),"x","")</f>
        <v/>
      </c>
      <c r="R67" s="90" t="str">
        <f>IF(AND($K67=$P$7,$B67&lt;'1121'!$N$9),"x","")</f>
        <v>x</v>
      </c>
      <c r="S67" s="90" t="str">
        <f>IF(AND($B67&gt;='1331'!$I$9,$B67&lt;='1331'!$J$9,OR($J67=$S$7,$K67=$S$7)),"x","")</f>
        <v/>
      </c>
      <c r="T67" s="90" t="str">
        <f>IF(AND($J67=$S$7,$B67&lt;'1331'!$I$9),"x","")</f>
        <v/>
      </c>
      <c r="U67" s="90" t="str">
        <f>IF(AND($K67=$S$7,$B67&lt;'1331'!$I$9),"x","")</f>
        <v/>
      </c>
      <c r="V67" s="90" t="str">
        <f>IF(AND('3411-CT'!$E$9=TH!H67,OR(TH!J67=TH!$V$7,K67=TH!$V$7)),"x","")</f>
        <v/>
      </c>
      <c r="W67" s="90" t="str">
        <f>IF(OR(TH!J67=TH!$W$7,K67=TH!$W$7),"x","")</f>
        <v/>
      </c>
      <c r="X67" s="90" t="str">
        <f t="shared" si="3"/>
        <v>2</v>
      </c>
    </row>
    <row r="68" spans="1:24" s="77" customFormat="1" ht="15.75" customHeight="1">
      <c r="A68" s="158" t="str">
        <f>IF(B68&lt;&gt;"",IF(AND(B68&gt;=_TM1,B68&lt;=_TM2,OR(TH!J68="1111",TH!K68="1111")),TH!D68,""),"")</f>
        <v/>
      </c>
      <c r="B68" s="63">
        <f t="shared" si="2"/>
        <v>5</v>
      </c>
      <c r="C68" s="75">
        <v>41775</v>
      </c>
      <c r="D68" s="64" t="s">
        <v>8</v>
      </c>
      <c r="E68" s="64">
        <v>41775</v>
      </c>
      <c r="F68" s="67" t="s">
        <v>22</v>
      </c>
      <c r="G68" s="439"/>
      <c r="H68" s="79"/>
      <c r="I68" s="65">
        <v>2500</v>
      </c>
      <c r="J68" s="68" t="s">
        <v>10</v>
      </c>
      <c r="K68" s="66" t="s">
        <v>34</v>
      </c>
      <c r="L68" s="90" t="str">
        <f>IF(AND('331-CT'!$E$7=TH!H68,OR(J68="331",K68="331")),"x","")</f>
        <v/>
      </c>
      <c r="M68" s="90" t="str">
        <f>IF(AND($B68&gt;='1111'!$N$10,$B68&lt;='1111'!$O$10,OR($J68=$M$7,$K68=$M$7)),"x","")</f>
        <v/>
      </c>
      <c r="N68" s="90" t="str">
        <f>IF(AND($J68=$M$7,$B68&lt;'1111'!$N$10),"x","")</f>
        <v/>
      </c>
      <c r="O68" s="90" t="str">
        <f>IF(AND($K68=$M$7,$B68&lt;'1111'!$N$10),"x","")</f>
        <v/>
      </c>
      <c r="P68" s="90" t="str">
        <f>IF(AND($B68&gt;='1121'!$N$9,$B68&lt;='1121'!$O$9,OR($J68=$P$7,$K68=$P$7)),"x","")</f>
        <v/>
      </c>
      <c r="Q68" s="90" t="str">
        <f>IF(AND($J68=$P$7,$B68&lt;'1121'!$N$9),"x","")</f>
        <v/>
      </c>
      <c r="R68" s="90" t="str">
        <f>IF(AND($K68=$P$7,$B68&lt;'1121'!$N$9),"x","")</f>
        <v>x</v>
      </c>
      <c r="S68" s="90" t="str">
        <f>IF(AND($B68&gt;='1331'!$I$9,$B68&lt;='1331'!$J$9,OR($J68=$S$7,$K68=$S$7)),"x","")</f>
        <v/>
      </c>
      <c r="T68" s="90" t="str">
        <f>IF(AND($J68=$S$7,$B68&lt;'1331'!$I$9),"x","")</f>
        <v>x</v>
      </c>
      <c r="U68" s="90" t="str">
        <f>IF(AND($K68=$S$7,$B68&lt;'1331'!$I$9),"x","")</f>
        <v/>
      </c>
      <c r="V68" s="90" t="str">
        <f>IF(AND('3411-CT'!$E$9=TH!H68,OR(TH!J68=TH!$V$7,K68=TH!$V$7)),"x","")</f>
        <v/>
      </c>
      <c r="W68" s="90" t="str">
        <f>IF(OR(TH!J68=TH!$W$7,K68=TH!$W$7),"x","")</f>
        <v/>
      </c>
      <c r="X68" s="90" t="str">
        <f t="shared" si="3"/>
        <v>2</v>
      </c>
    </row>
    <row r="69" spans="1:24" s="77" customFormat="1" ht="15.75" customHeight="1">
      <c r="A69" s="158" t="str">
        <f>IF(B69&lt;&gt;"",IF(AND(B69&gt;=_TM1,B69&lt;=_TM2,OR(TH!J69="1111",TH!K69="1111")),TH!D69,""),"")</f>
        <v/>
      </c>
      <c r="B69" s="63">
        <f t="shared" si="2"/>
        <v>5</v>
      </c>
      <c r="C69" s="75">
        <v>41779</v>
      </c>
      <c r="D69" s="64" t="s">
        <v>60</v>
      </c>
      <c r="E69" s="64">
        <v>41779</v>
      </c>
      <c r="F69" s="67" t="s">
        <v>191</v>
      </c>
      <c r="G69" s="439"/>
      <c r="H69" s="79" t="s">
        <v>165</v>
      </c>
      <c r="I69" s="65">
        <v>36500000</v>
      </c>
      <c r="J69" s="68" t="s">
        <v>34</v>
      </c>
      <c r="K69" s="66" t="s">
        <v>101</v>
      </c>
      <c r="L69" s="90" t="str">
        <f>IF(AND('331-CT'!$E$7=TH!H69,OR(J69="331",K69="331")),"x","")</f>
        <v/>
      </c>
      <c r="M69" s="90" t="str">
        <f>IF(AND($B69&gt;='1111'!$N$10,$B69&lt;='1111'!$O$10,OR($J69=$M$7,$K69=$M$7)),"x","")</f>
        <v/>
      </c>
      <c r="N69" s="90" t="str">
        <f>IF(AND($J69=$M$7,$B69&lt;'1111'!$N$10),"x","")</f>
        <v/>
      </c>
      <c r="O69" s="90" t="str">
        <f>IF(AND($K69=$M$7,$B69&lt;'1111'!$N$10),"x","")</f>
        <v>x</v>
      </c>
      <c r="P69" s="90" t="str">
        <f>IF(AND($B69&gt;='1121'!$N$9,$B69&lt;='1121'!$O$9,OR($J69=$P$7,$K69=$P$7)),"x","")</f>
        <v/>
      </c>
      <c r="Q69" s="90" t="str">
        <f>IF(AND($J69=$P$7,$B69&lt;'1121'!$N$9),"x","")</f>
        <v>x</v>
      </c>
      <c r="R69" s="90" t="str">
        <f>IF(AND($K69=$P$7,$B69&lt;'1121'!$N$9),"x","")</f>
        <v/>
      </c>
      <c r="S69" s="90" t="str">
        <f>IF(AND($B69&gt;='1331'!$I$9,$B69&lt;='1331'!$J$9,OR($J69=$S$7,$K69=$S$7)),"x","")</f>
        <v/>
      </c>
      <c r="T69" s="90" t="str">
        <f>IF(AND($J69=$S$7,$B69&lt;'1331'!$I$9),"x","")</f>
        <v/>
      </c>
      <c r="U69" s="90" t="str">
        <f>IF(AND($K69=$S$7,$B69&lt;'1331'!$I$9),"x","")</f>
        <v/>
      </c>
      <c r="V69" s="90" t="str">
        <f>IF(AND('3411-CT'!$E$9=TH!H69,OR(TH!J69=TH!$V$7,K69=TH!$V$7)),"x","")</f>
        <v/>
      </c>
      <c r="W69" s="90" t="str">
        <f>IF(OR(TH!J69=TH!$W$7,K69=TH!$W$7),"x","")</f>
        <v/>
      </c>
      <c r="X69" s="90" t="str">
        <f t="shared" si="3"/>
        <v>2</v>
      </c>
    </row>
    <row r="70" spans="1:24" s="77" customFormat="1" ht="15.75" customHeight="1">
      <c r="A70" s="158" t="str">
        <f>IF(B70&lt;&gt;"",IF(AND(B70&gt;=_TM1,B70&lt;=_TM2,OR(TH!J70="1111",TH!K70="1111")),TH!D70,""),"")</f>
        <v/>
      </c>
      <c r="B70" s="63">
        <f t="shared" si="2"/>
        <v>5</v>
      </c>
      <c r="C70" s="64">
        <v>41779</v>
      </c>
      <c r="D70" s="64" t="s">
        <v>11</v>
      </c>
      <c r="E70" s="64">
        <v>41779</v>
      </c>
      <c r="F70" s="67" t="s">
        <v>317</v>
      </c>
      <c r="G70" s="439"/>
      <c r="H70" s="79" t="s">
        <v>56</v>
      </c>
      <c r="I70" s="65">
        <v>33000000</v>
      </c>
      <c r="J70" s="66" t="s">
        <v>34</v>
      </c>
      <c r="K70" s="66" t="s">
        <v>110</v>
      </c>
      <c r="L70" s="90" t="str">
        <f>IF(AND('331-CT'!$E$7=TH!H70,OR(J70="331",K70="331")),"x","")</f>
        <v/>
      </c>
      <c r="M70" s="90" t="str">
        <f>IF(AND($B70&gt;='1111'!$N$10,$B70&lt;='1111'!$O$10,OR($J70=$M$7,$K70=$M$7)),"x","")</f>
        <v/>
      </c>
      <c r="N70" s="90" t="str">
        <f>IF(AND($J70=$M$7,$B70&lt;'1111'!$N$10),"x","")</f>
        <v/>
      </c>
      <c r="O70" s="90" t="str">
        <f>IF(AND($K70=$M$7,$B70&lt;'1111'!$N$10),"x","")</f>
        <v/>
      </c>
      <c r="P70" s="90" t="str">
        <f>IF(AND($B70&gt;='1121'!$N$9,$B70&lt;='1121'!$O$9,OR($J70=$P$7,$K70=$P$7)),"x","")</f>
        <v/>
      </c>
      <c r="Q70" s="90" t="str">
        <f>IF(AND($J70=$P$7,$B70&lt;'1121'!$N$9),"x","")</f>
        <v>x</v>
      </c>
      <c r="R70" s="90" t="str">
        <f>IF(AND($K70=$P$7,$B70&lt;'1121'!$N$9),"x","")</f>
        <v/>
      </c>
      <c r="S70" s="90" t="str">
        <f>IF(AND($B70&gt;='1331'!$I$9,$B70&lt;='1331'!$J$9,OR($J70=$S$7,$K70=$S$7)),"x","")</f>
        <v/>
      </c>
      <c r="T70" s="90" t="str">
        <f>IF(AND($J70=$S$7,$B70&lt;'1331'!$I$9),"x","")</f>
        <v/>
      </c>
      <c r="U70" s="90" t="str">
        <f>IF(AND($K70=$S$7,$B70&lt;'1331'!$I$9),"x","")</f>
        <v/>
      </c>
      <c r="V70" s="90" t="str">
        <f>IF(AND('3411-CT'!$E$9=TH!H70,OR(TH!J70=TH!$V$7,K70=TH!$V$7)),"x","")</f>
        <v/>
      </c>
      <c r="W70" s="90" t="str">
        <f>IF(OR(TH!J70=TH!$W$7,K70=TH!$W$7),"x","")</f>
        <v/>
      </c>
      <c r="X70" s="90" t="str">
        <f t="shared" si="3"/>
        <v>2</v>
      </c>
    </row>
    <row r="71" spans="1:24" s="77" customFormat="1" ht="15.75" customHeight="1">
      <c r="A71" s="158" t="str">
        <f>IF(B71&lt;&gt;"",IF(AND(B71&gt;=_TM1,B71&lt;=_TM2,OR(TH!J71="1111",TH!K71="1111")),TH!D71,""),"")</f>
        <v/>
      </c>
      <c r="B71" s="63">
        <f t="shared" si="2"/>
        <v>5</v>
      </c>
      <c r="C71" s="64">
        <v>41779</v>
      </c>
      <c r="D71" s="64" t="s">
        <v>8</v>
      </c>
      <c r="E71" s="64">
        <v>41779</v>
      </c>
      <c r="F71" s="67" t="s">
        <v>306</v>
      </c>
      <c r="G71" s="439"/>
      <c r="H71" s="79" t="s">
        <v>56</v>
      </c>
      <c r="I71" s="65">
        <v>33000000</v>
      </c>
      <c r="J71" s="66" t="s">
        <v>9</v>
      </c>
      <c r="K71" s="66" t="s">
        <v>34</v>
      </c>
      <c r="L71" s="90" t="str">
        <f>IF(AND('331-CT'!$E$7=TH!H71,OR(J71="331",K71="331")),"x","")</f>
        <v/>
      </c>
      <c r="M71" s="90" t="str">
        <f>IF(AND($B71&gt;='1111'!$N$10,$B71&lt;='1111'!$O$10,OR($J71=$M$7,$K71=$M$7)),"x","")</f>
        <v/>
      </c>
      <c r="N71" s="90" t="str">
        <f>IF(AND($J71=$M$7,$B71&lt;'1111'!$N$10),"x","")</f>
        <v/>
      </c>
      <c r="O71" s="90" t="str">
        <f>IF(AND($K71=$M$7,$B71&lt;'1111'!$N$10),"x","")</f>
        <v/>
      </c>
      <c r="P71" s="90" t="str">
        <f>IF(AND($B71&gt;='1121'!$N$9,$B71&lt;='1121'!$O$9,OR($J71=$P$7,$K71=$P$7)),"x","")</f>
        <v/>
      </c>
      <c r="Q71" s="90" t="str">
        <f>IF(AND($J71=$P$7,$B71&lt;'1121'!$N$9),"x","")</f>
        <v/>
      </c>
      <c r="R71" s="90" t="str">
        <f>IF(AND($K71=$P$7,$B71&lt;'1121'!$N$9),"x","")</f>
        <v>x</v>
      </c>
      <c r="S71" s="90" t="str">
        <f>IF(AND($B71&gt;='1331'!$I$9,$B71&lt;='1331'!$J$9,OR($J71=$S$7,$K71=$S$7)),"x","")</f>
        <v/>
      </c>
      <c r="T71" s="90" t="str">
        <f>IF(AND($J71=$S$7,$B71&lt;'1331'!$I$9),"x","")</f>
        <v/>
      </c>
      <c r="U71" s="90" t="str">
        <f>IF(AND($K71=$S$7,$B71&lt;'1331'!$I$9),"x","")</f>
        <v/>
      </c>
      <c r="V71" s="90" t="str">
        <f>IF(AND('3411-CT'!$E$9=TH!H71,OR(TH!J71=TH!$V$7,K71=TH!$V$7)),"x","")</f>
        <v/>
      </c>
      <c r="W71" s="90" t="str">
        <f>IF(OR(TH!J71=TH!$W$7,K71=TH!$W$7),"x","")</f>
        <v/>
      </c>
      <c r="X71" s="90" t="str">
        <f t="shared" si="3"/>
        <v>2</v>
      </c>
    </row>
    <row r="72" spans="1:24" s="77" customFormat="1" ht="15.75" customHeight="1">
      <c r="A72" s="158" t="str">
        <f>IF(B72&lt;&gt;"",IF(AND(B72&gt;=_TM1,B72&lt;=_TM2,OR(TH!J72="1111",TH!K72="1111")),TH!D72,""),"")</f>
        <v/>
      </c>
      <c r="B72" s="63">
        <f t="shared" si="2"/>
        <v>5</v>
      </c>
      <c r="C72" s="64">
        <v>41779</v>
      </c>
      <c r="D72" s="64" t="s">
        <v>8</v>
      </c>
      <c r="E72" s="64">
        <v>41779</v>
      </c>
      <c r="F72" s="67" t="s">
        <v>21</v>
      </c>
      <c r="G72" s="449"/>
      <c r="H72" s="79"/>
      <c r="I72" s="65">
        <v>25000</v>
      </c>
      <c r="J72" s="66" t="s">
        <v>140</v>
      </c>
      <c r="K72" s="66" t="s">
        <v>34</v>
      </c>
      <c r="L72" s="90" t="str">
        <f>IF(AND('331-CT'!$E$7=TH!H72,OR(J72="331",K72="331")),"x","")</f>
        <v/>
      </c>
      <c r="M72" s="90" t="str">
        <f>IF(AND($B72&gt;='1111'!$N$10,$B72&lt;='1111'!$O$10,OR($J72=$M$7,$K72=$M$7)),"x","")</f>
        <v/>
      </c>
      <c r="N72" s="90" t="str">
        <f>IF(AND($J72=$M$7,$B72&lt;'1111'!$N$10),"x","")</f>
        <v/>
      </c>
      <c r="O72" s="90" t="str">
        <f>IF(AND($K72=$M$7,$B72&lt;'1111'!$N$10),"x","")</f>
        <v/>
      </c>
      <c r="P72" s="90" t="str">
        <f>IF(AND($B72&gt;='1121'!$N$9,$B72&lt;='1121'!$O$9,OR($J72=$P$7,$K72=$P$7)),"x","")</f>
        <v/>
      </c>
      <c r="Q72" s="90" t="str">
        <f>IF(AND($J72=$P$7,$B72&lt;'1121'!$N$9),"x","")</f>
        <v/>
      </c>
      <c r="R72" s="90" t="str">
        <f>IF(AND($K72=$P$7,$B72&lt;'1121'!$N$9),"x","")</f>
        <v>x</v>
      </c>
      <c r="S72" s="90" t="str">
        <f>IF(AND($B72&gt;='1331'!$I$9,$B72&lt;='1331'!$J$9,OR($J72=$S$7,$K72=$S$7)),"x","")</f>
        <v/>
      </c>
      <c r="T72" s="90" t="str">
        <f>IF(AND($J72=$S$7,$B72&lt;'1331'!$I$9),"x","")</f>
        <v/>
      </c>
      <c r="U72" s="90" t="str">
        <f>IF(AND($K72=$S$7,$B72&lt;'1331'!$I$9),"x","")</f>
        <v/>
      </c>
      <c r="V72" s="90" t="str">
        <f>IF(AND('3411-CT'!$E$9=TH!H72,OR(TH!J72=TH!$V$7,K72=TH!$V$7)),"x","")</f>
        <v/>
      </c>
      <c r="W72" s="90" t="str">
        <f>IF(OR(TH!J72=TH!$W$7,K72=TH!$W$7),"x","")</f>
        <v/>
      </c>
      <c r="X72" s="90" t="str">
        <f t="shared" si="3"/>
        <v>2</v>
      </c>
    </row>
    <row r="73" spans="1:24" s="77" customFormat="1" ht="15.75" customHeight="1">
      <c r="A73" s="158" t="str">
        <f>IF(B73&lt;&gt;"",IF(AND(B73&gt;=_TM1,B73&lt;=_TM2,OR(TH!J73="1111",TH!K73="1111")),TH!D73,""),"")</f>
        <v/>
      </c>
      <c r="B73" s="63">
        <f t="shared" si="2"/>
        <v>5</v>
      </c>
      <c r="C73" s="64">
        <v>41779</v>
      </c>
      <c r="D73" s="64" t="s">
        <v>8</v>
      </c>
      <c r="E73" s="64">
        <v>41779</v>
      </c>
      <c r="F73" s="67" t="s">
        <v>22</v>
      </c>
      <c r="G73" s="449"/>
      <c r="H73" s="79"/>
      <c r="I73" s="65">
        <v>2500</v>
      </c>
      <c r="J73" s="66" t="s">
        <v>10</v>
      </c>
      <c r="K73" s="66" t="s">
        <v>34</v>
      </c>
      <c r="L73" s="90" t="str">
        <f>IF(AND('331-CT'!$E$7=TH!H73,OR(J73="331",K73="331")),"x","")</f>
        <v/>
      </c>
      <c r="M73" s="90" t="str">
        <f>IF(AND($B73&gt;='1111'!$N$10,$B73&lt;='1111'!$O$10,OR($J73=$M$7,$K73=$M$7)),"x","")</f>
        <v/>
      </c>
      <c r="N73" s="90" t="str">
        <f>IF(AND($J73=$M$7,$B73&lt;'1111'!$N$10),"x","")</f>
        <v/>
      </c>
      <c r="O73" s="90" t="str">
        <f>IF(AND($K73=$M$7,$B73&lt;'1111'!$N$10),"x","")</f>
        <v/>
      </c>
      <c r="P73" s="90" t="str">
        <f>IF(AND($B73&gt;='1121'!$N$9,$B73&lt;='1121'!$O$9,OR($J73=$P$7,$K73=$P$7)),"x","")</f>
        <v/>
      </c>
      <c r="Q73" s="90" t="str">
        <f>IF(AND($J73=$P$7,$B73&lt;'1121'!$N$9),"x","")</f>
        <v/>
      </c>
      <c r="R73" s="90" t="str">
        <f>IF(AND($K73=$P$7,$B73&lt;'1121'!$N$9),"x","")</f>
        <v>x</v>
      </c>
      <c r="S73" s="90" t="str">
        <f>IF(AND($B73&gt;='1331'!$I$9,$B73&lt;='1331'!$J$9,OR($J73=$S$7,$K73=$S$7)),"x","")</f>
        <v/>
      </c>
      <c r="T73" s="90" t="str">
        <f>IF(AND($J73=$S$7,$B73&lt;'1331'!$I$9),"x","")</f>
        <v>x</v>
      </c>
      <c r="U73" s="90" t="str">
        <f>IF(AND($K73=$S$7,$B73&lt;'1331'!$I$9),"x","")</f>
        <v/>
      </c>
      <c r="V73" s="90" t="str">
        <f>IF(AND('3411-CT'!$E$9=TH!H73,OR(TH!J73=TH!$V$7,K73=TH!$V$7)),"x","")</f>
        <v/>
      </c>
      <c r="W73" s="90" t="str">
        <f>IF(OR(TH!J73=TH!$W$7,K73=TH!$W$7),"x","")</f>
        <v/>
      </c>
      <c r="X73" s="90" t="str">
        <f t="shared" si="3"/>
        <v>2</v>
      </c>
    </row>
    <row r="74" spans="1:24" s="77" customFormat="1" ht="15.75" customHeight="1">
      <c r="A74" s="158" t="str">
        <f>IF(B74&lt;&gt;"",IF(AND(B74&gt;=_TM1,B74&lt;=_TM2,OR(TH!J74="1111",TH!K74="1111")),TH!D74,""),"")</f>
        <v/>
      </c>
      <c r="B74" s="63">
        <f t="shared" si="2"/>
        <v>5</v>
      </c>
      <c r="C74" s="75">
        <v>41780</v>
      </c>
      <c r="D74" s="64" t="s">
        <v>8</v>
      </c>
      <c r="E74" s="64">
        <v>41780</v>
      </c>
      <c r="F74" s="67" t="s">
        <v>304</v>
      </c>
      <c r="G74" s="439"/>
      <c r="H74" s="79" t="s">
        <v>54</v>
      </c>
      <c r="I74" s="65">
        <v>36432000</v>
      </c>
      <c r="J74" s="68" t="s">
        <v>9</v>
      </c>
      <c r="K74" s="66" t="s">
        <v>34</v>
      </c>
      <c r="L74" s="90" t="str">
        <f>IF(AND('331-CT'!$E$7=TH!H74,OR(J74="331",K74="331")),"x","")</f>
        <v/>
      </c>
      <c r="M74" s="90" t="str">
        <f>IF(AND($B74&gt;='1111'!$N$10,$B74&lt;='1111'!$O$10,OR($J74=$M$7,$K74=$M$7)),"x","")</f>
        <v/>
      </c>
      <c r="N74" s="90" t="str">
        <f>IF(AND($J74=$M$7,$B74&lt;'1111'!$N$10),"x","")</f>
        <v/>
      </c>
      <c r="O74" s="90" t="str">
        <f>IF(AND($K74=$M$7,$B74&lt;'1111'!$N$10),"x","")</f>
        <v/>
      </c>
      <c r="P74" s="90" t="str">
        <f>IF(AND($B74&gt;='1121'!$N$9,$B74&lt;='1121'!$O$9,OR($J74=$P$7,$K74=$P$7)),"x","")</f>
        <v/>
      </c>
      <c r="Q74" s="90" t="str">
        <f>IF(AND($J74=$P$7,$B74&lt;'1121'!$N$9),"x","")</f>
        <v/>
      </c>
      <c r="R74" s="90" t="str">
        <f>IF(AND($K74=$P$7,$B74&lt;'1121'!$N$9),"x","")</f>
        <v>x</v>
      </c>
      <c r="S74" s="90" t="str">
        <f>IF(AND($B74&gt;='1331'!$I$9,$B74&lt;='1331'!$J$9,OR($J74=$S$7,$K74=$S$7)),"x","")</f>
        <v/>
      </c>
      <c r="T74" s="90" t="str">
        <f>IF(AND($J74=$S$7,$B74&lt;'1331'!$I$9),"x","")</f>
        <v/>
      </c>
      <c r="U74" s="90" t="str">
        <f>IF(AND($K74=$S$7,$B74&lt;'1331'!$I$9),"x","")</f>
        <v/>
      </c>
      <c r="V74" s="90" t="str">
        <f>IF(AND('3411-CT'!$E$9=TH!H74,OR(TH!J74=TH!$V$7,K74=TH!$V$7)),"x","")</f>
        <v/>
      </c>
      <c r="W74" s="90" t="str">
        <f>IF(OR(TH!J74=TH!$W$7,K74=TH!$W$7),"x","")</f>
        <v/>
      </c>
      <c r="X74" s="90" t="str">
        <f t="shared" si="3"/>
        <v>2</v>
      </c>
    </row>
    <row r="75" spans="1:24" s="77" customFormat="1" ht="15.75" customHeight="1">
      <c r="A75" s="158" t="str">
        <f>IF(B75&lt;&gt;"",IF(AND(B75&gt;=_TM1,B75&lt;=_TM2,OR(TH!J75="1111",TH!K75="1111")),TH!D75,""),"")</f>
        <v/>
      </c>
      <c r="B75" s="63">
        <f t="shared" si="2"/>
        <v>5</v>
      </c>
      <c r="C75" s="64">
        <v>41780</v>
      </c>
      <c r="D75" s="64" t="s">
        <v>8</v>
      </c>
      <c r="E75" s="64">
        <v>41780</v>
      </c>
      <c r="F75" s="67" t="s">
        <v>21</v>
      </c>
      <c r="G75" s="439"/>
      <c r="H75" s="79"/>
      <c r="I75" s="65">
        <v>45000</v>
      </c>
      <c r="J75" s="66" t="s">
        <v>140</v>
      </c>
      <c r="K75" s="66" t="s">
        <v>34</v>
      </c>
      <c r="L75" s="90" t="str">
        <f>IF(AND('331-CT'!$E$7=TH!H75,OR(J75="331",K75="331")),"x","")</f>
        <v/>
      </c>
      <c r="M75" s="90" t="str">
        <f>IF(AND($B75&gt;='1111'!$N$10,$B75&lt;='1111'!$O$10,OR($J75=$M$7,$K75=$M$7)),"x","")</f>
        <v/>
      </c>
      <c r="N75" s="90" t="str">
        <f>IF(AND($J75=$M$7,$B75&lt;'1111'!$N$10),"x","")</f>
        <v/>
      </c>
      <c r="O75" s="90" t="str">
        <f>IF(AND($K75=$M$7,$B75&lt;'1111'!$N$10),"x","")</f>
        <v/>
      </c>
      <c r="P75" s="90" t="str">
        <f>IF(AND($B75&gt;='1121'!$N$9,$B75&lt;='1121'!$O$9,OR($J75=$P$7,$K75=$P$7)),"x","")</f>
        <v/>
      </c>
      <c r="Q75" s="90" t="str">
        <f>IF(AND($J75=$P$7,$B75&lt;'1121'!$N$9),"x","")</f>
        <v/>
      </c>
      <c r="R75" s="90" t="str">
        <f>IF(AND($K75=$P$7,$B75&lt;'1121'!$N$9),"x","")</f>
        <v>x</v>
      </c>
      <c r="S75" s="90" t="str">
        <f>IF(AND($B75&gt;='1331'!$I$9,$B75&lt;='1331'!$J$9,OR($J75=$S$7,$K75=$S$7)),"x","")</f>
        <v/>
      </c>
      <c r="T75" s="90" t="str">
        <f>IF(AND($J75=$S$7,$B75&lt;'1331'!$I$9),"x","")</f>
        <v/>
      </c>
      <c r="U75" s="90" t="str">
        <f>IF(AND($K75=$S$7,$B75&lt;'1331'!$I$9),"x","")</f>
        <v/>
      </c>
      <c r="V75" s="90" t="str">
        <f>IF(AND('3411-CT'!$E$9=TH!H75,OR(TH!J75=TH!$V$7,K75=TH!$V$7)),"x","")</f>
        <v/>
      </c>
      <c r="W75" s="90" t="str">
        <f>IF(OR(TH!J75=TH!$W$7,K75=TH!$W$7),"x","")</f>
        <v/>
      </c>
      <c r="X75" s="90" t="str">
        <f t="shared" si="3"/>
        <v>2</v>
      </c>
    </row>
    <row r="76" spans="1:24" s="77" customFormat="1" ht="15.75" customHeight="1">
      <c r="A76" s="158" t="str">
        <f>IF(B76&lt;&gt;"",IF(AND(B76&gt;=_TM1,B76&lt;=_TM2,OR(TH!J76="1111",TH!K76="1111")),TH!D76,""),"")</f>
        <v/>
      </c>
      <c r="B76" s="63">
        <f t="shared" si="2"/>
        <v>5</v>
      </c>
      <c r="C76" s="64">
        <v>41780</v>
      </c>
      <c r="D76" s="64" t="s">
        <v>8</v>
      </c>
      <c r="E76" s="64">
        <v>41780</v>
      </c>
      <c r="F76" s="67" t="s">
        <v>22</v>
      </c>
      <c r="G76" s="439"/>
      <c r="H76" s="79"/>
      <c r="I76" s="65">
        <v>4500</v>
      </c>
      <c r="J76" s="66" t="s">
        <v>10</v>
      </c>
      <c r="K76" s="66" t="s">
        <v>34</v>
      </c>
      <c r="L76" s="90" t="str">
        <f>IF(AND('331-CT'!$E$7=TH!H76,OR(J76="331",K76="331")),"x","")</f>
        <v/>
      </c>
      <c r="M76" s="90" t="str">
        <f>IF(AND($B76&gt;='1111'!$N$10,$B76&lt;='1111'!$O$10,OR($J76=$M$7,$K76=$M$7)),"x","")</f>
        <v/>
      </c>
      <c r="N76" s="90" t="str">
        <f>IF(AND($J76=$M$7,$B76&lt;'1111'!$N$10),"x","")</f>
        <v/>
      </c>
      <c r="O76" s="90" t="str">
        <f>IF(AND($K76=$M$7,$B76&lt;'1111'!$N$10),"x","")</f>
        <v/>
      </c>
      <c r="P76" s="90" t="str">
        <f>IF(AND($B76&gt;='1121'!$N$9,$B76&lt;='1121'!$O$9,OR($J76=$P$7,$K76=$P$7)),"x","")</f>
        <v/>
      </c>
      <c r="Q76" s="90" t="str">
        <f>IF(AND($J76=$P$7,$B76&lt;'1121'!$N$9),"x","")</f>
        <v/>
      </c>
      <c r="R76" s="90" t="str">
        <f>IF(AND($K76=$P$7,$B76&lt;'1121'!$N$9),"x","")</f>
        <v>x</v>
      </c>
      <c r="S76" s="90" t="str">
        <f>IF(AND($B76&gt;='1331'!$I$9,$B76&lt;='1331'!$J$9,OR($J76=$S$7,$K76=$S$7)),"x","")</f>
        <v/>
      </c>
      <c r="T76" s="90" t="str">
        <f>IF(AND($J76=$S$7,$B76&lt;'1331'!$I$9),"x","")</f>
        <v>x</v>
      </c>
      <c r="U76" s="90" t="str">
        <f>IF(AND($K76=$S$7,$B76&lt;'1331'!$I$9),"x","")</f>
        <v/>
      </c>
      <c r="V76" s="90" t="str">
        <f>IF(AND('3411-CT'!$E$9=TH!H76,OR(TH!J76=TH!$V$7,K76=TH!$V$7)),"x","")</f>
        <v/>
      </c>
      <c r="W76" s="90" t="str">
        <f>IF(OR(TH!J76=TH!$W$7,K76=TH!$W$7),"x","")</f>
        <v/>
      </c>
      <c r="X76" s="90" t="str">
        <f t="shared" si="3"/>
        <v>2</v>
      </c>
    </row>
    <row r="77" spans="1:24" s="77" customFormat="1" ht="15.75" customHeight="1">
      <c r="A77" s="158" t="str">
        <f>IF(B77&lt;&gt;"",IF(AND(B77&gt;=_TM1,B77&lt;=_TM2,OR(TH!J77="1111",TH!K77="1111")),TH!D77,""),"")</f>
        <v/>
      </c>
      <c r="B77" s="63">
        <f t="shared" si="2"/>
        <v>5</v>
      </c>
      <c r="C77" s="64">
        <v>41785</v>
      </c>
      <c r="D77" s="64" t="s">
        <v>49</v>
      </c>
      <c r="E77" s="64">
        <v>41785</v>
      </c>
      <c r="F77" s="67" t="s">
        <v>318</v>
      </c>
      <c r="G77" s="449" t="s">
        <v>319</v>
      </c>
      <c r="H77" s="79" t="s">
        <v>54</v>
      </c>
      <c r="I77" s="65">
        <v>33120000</v>
      </c>
      <c r="J77" s="66" t="s">
        <v>140</v>
      </c>
      <c r="K77" s="66" t="s">
        <v>9</v>
      </c>
      <c r="L77" s="90" t="str">
        <f>IF(AND('331-CT'!$E$7=TH!H77,OR(J77="331",K77="331")),"x","")</f>
        <v/>
      </c>
      <c r="M77" s="90" t="str">
        <f>IF(AND($B77&gt;='1111'!$N$10,$B77&lt;='1111'!$O$10,OR($J77=$M$7,$K77=$M$7)),"x","")</f>
        <v/>
      </c>
      <c r="N77" s="90" t="str">
        <f>IF(AND($J77=$M$7,$B77&lt;'1111'!$N$10),"x","")</f>
        <v/>
      </c>
      <c r="O77" s="90" t="str">
        <f>IF(AND($K77=$M$7,$B77&lt;'1111'!$N$10),"x","")</f>
        <v/>
      </c>
      <c r="P77" s="90" t="str">
        <f>IF(AND($B77&gt;='1121'!$N$9,$B77&lt;='1121'!$O$9,OR($J77=$P$7,$K77=$P$7)),"x","")</f>
        <v/>
      </c>
      <c r="Q77" s="90" t="str">
        <f>IF(AND($J77=$P$7,$B77&lt;'1121'!$N$9),"x","")</f>
        <v/>
      </c>
      <c r="R77" s="90" t="str">
        <f>IF(AND($K77=$P$7,$B77&lt;'1121'!$N$9),"x","")</f>
        <v/>
      </c>
      <c r="S77" s="90" t="str">
        <f>IF(AND($B77&gt;='1331'!$I$9,$B77&lt;='1331'!$J$9,OR($J77=$S$7,$K77=$S$7)),"x","")</f>
        <v/>
      </c>
      <c r="T77" s="90" t="str">
        <f>IF(AND($J77=$S$7,$B77&lt;'1331'!$I$9),"x","")</f>
        <v/>
      </c>
      <c r="U77" s="90" t="str">
        <f>IF(AND($K77=$S$7,$B77&lt;'1331'!$I$9),"x","")</f>
        <v/>
      </c>
      <c r="V77" s="90" t="str">
        <f>IF(AND('3411-CT'!$E$9=TH!H77,OR(TH!J77=TH!$V$7,K77=TH!$V$7)),"x","")</f>
        <v/>
      </c>
      <c r="W77" s="90" t="str">
        <f>IF(OR(TH!J77=TH!$W$7,K77=TH!$W$7),"x","")</f>
        <v/>
      </c>
      <c r="X77" s="90" t="str">
        <f t="shared" si="3"/>
        <v>2</v>
      </c>
    </row>
    <row r="78" spans="1:24" s="77" customFormat="1" ht="15.75" customHeight="1">
      <c r="A78" s="158" t="str">
        <f>IF(B78&lt;&gt;"",IF(AND(B78&gt;=_TM1,B78&lt;=_TM2,OR(TH!J78="1111",TH!K78="1111")),TH!D78,""),"")</f>
        <v/>
      </c>
      <c r="B78" s="63">
        <f t="shared" si="2"/>
        <v>5</v>
      </c>
      <c r="C78" s="64">
        <v>41785</v>
      </c>
      <c r="D78" s="64" t="s">
        <v>49</v>
      </c>
      <c r="E78" s="64">
        <v>41785</v>
      </c>
      <c r="F78" s="67" t="s">
        <v>309</v>
      </c>
      <c r="G78" s="449" t="s">
        <v>319</v>
      </c>
      <c r="H78" s="79" t="s">
        <v>54</v>
      </c>
      <c r="I78" s="65">
        <v>3312000</v>
      </c>
      <c r="J78" s="66" t="s">
        <v>10</v>
      </c>
      <c r="K78" s="66" t="s">
        <v>9</v>
      </c>
      <c r="L78" s="90" t="str">
        <f>IF(AND('331-CT'!$E$7=TH!H78,OR(J78="331",K78="331")),"x","")</f>
        <v/>
      </c>
      <c r="M78" s="90" t="str">
        <f>IF(AND($B78&gt;='1111'!$N$10,$B78&lt;='1111'!$O$10,OR($J78=$M$7,$K78=$M$7)),"x","")</f>
        <v/>
      </c>
      <c r="N78" s="90" t="str">
        <f>IF(AND($J78=$M$7,$B78&lt;'1111'!$N$10),"x","")</f>
        <v/>
      </c>
      <c r="O78" s="90" t="str">
        <f>IF(AND($K78=$M$7,$B78&lt;'1111'!$N$10),"x","")</f>
        <v/>
      </c>
      <c r="P78" s="90" t="str">
        <f>IF(AND($B78&gt;='1121'!$N$9,$B78&lt;='1121'!$O$9,OR($J78=$P$7,$K78=$P$7)),"x","")</f>
        <v/>
      </c>
      <c r="Q78" s="90" t="str">
        <f>IF(AND($J78=$P$7,$B78&lt;'1121'!$N$9),"x","")</f>
        <v/>
      </c>
      <c r="R78" s="90" t="str">
        <f>IF(AND($K78=$P$7,$B78&lt;'1121'!$N$9),"x","")</f>
        <v/>
      </c>
      <c r="S78" s="90" t="str">
        <f>IF(AND($B78&gt;='1331'!$I$9,$B78&lt;='1331'!$J$9,OR($J78=$S$7,$K78=$S$7)),"x","")</f>
        <v/>
      </c>
      <c r="T78" s="90" t="str">
        <f>IF(AND($J78=$S$7,$B78&lt;'1331'!$I$9),"x","")</f>
        <v>x</v>
      </c>
      <c r="U78" s="90" t="str">
        <f>IF(AND($K78=$S$7,$B78&lt;'1331'!$I$9),"x","")</f>
        <v/>
      </c>
      <c r="V78" s="90" t="str">
        <f>IF(AND('3411-CT'!$E$9=TH!H78,OR(TH!J78=TH!$V$7,K78=TH!$V$7)),"x","")</f>
        <v/>
      </c>
      <c r="W78" s="90" t="str">
        <f>IF(OR(TH!J78=TH!$W$7,K78=TH!$W$7),"x","")</f>
        <v/>
      </c>
      <c r="X78" s="90" t="str">
        <f t="shared" si="3"/>
        <v>2</v>
      </c>
    </row>
    <row r="79" spans="1:24" s="77" customFormat="1" ht="15.75" customHeight="1">
      <c r="A79" s="158" t="str">
        <f>IF(B79&lt;&gt;"",IF(AND(B79&gt;=_TM1,B79&lt;=_TM2,OR(TH!J79="1111",TH!K79="1111")),TH!D79,""),"")</f>
        <v/>
      </c>
      <c r="B79" s="63">
        <f t="shared" ref="B79:B142" si="4">IF(C79&lt;&gt;"",MONTH(C79),"")</f>
        <v>6</v>
      </c>
      <c r="C79" s="64">
        <v>41810</v>
      </c>
      <c r="D79" s="64" t="s">
        <v>61</v>
      </c>
      <c r="E79" s="64">
        <v>41810</v>
      </c>
      <c r="F79" s="67" t="s">
        <v>191</v>
      </c>
      <c r="G79" s="449"/>
      <c r="H79" s="79" t="s">
        <v>165</v>
      </c>
      <c r="I79" s="65">
        <v>30000000</v>
      </c>
      <c r="J79" s="66" t="s">
        <v>34</v>
      </c>
      <c r="K79" s="66" t="s">
        <v>101</v>
      </c>
      <c r="L79" s="90" t="str">
        <f>IF(AND('331-CT'!$E$7=TH!H79,OR(J79="331",K79="331")),"x","")</f>
        <v/>
      </c>
      <c r="M79" s="90" t="str">
        <f>IF(AND($B79&gt;='1111'!$N$10,$B79&lt;='1111'!$O$10,OR($J79=$M$7,$K79=$M$7)),"x","")</f>
        <v/>
      </c>
      <c r="N79" s="90" t="str">
        <f>IF(AND($J79=$M$7,$B79&lt;'1111'!$N$10),"x","")</f>
        <v/>
      </c>
      <c r="O79" s="90" t="str">
        <f>IF(AND($K79=$M$7,$B79&lt;'1111'!$N$10),"x","")</f>
        <v>x</v>
      </c>
      <c r="P79" s="90" t="str">
        <f>IF(AND($B79&gt;='1121'!$N$9,$B79&lt;='1121'!$O$9,OR($J79=$P$7,$K79=$P$7)),"x","")</f>
        <v/>
      </c>
      <c r="Q79" s="90" t="str">
        <f>IF(AND($J79=$P$7,$B79&lt;'1121'!$N$9),"x","")</f>
        <v>x</v>
      </c>
      <c r="R79" s="90" t="str">
        <f>IF(AND($K79=$P$7,$B79&lt;'1121'!$N$9),"x","")</f>
        <v/>
      </c>
      <c r="S79" s="90" t="str">
        <f>IF(AND($B79&gt;='1331'!$I$9,$B79&lt;='1331'!$J$9,OR($J79=$S$7,$K79=$S$7)),"x","")</f>
        <v/>
      </c>
      <c r="T79" s="90" t="str">
        <f>IF(AND($J79=$S$7,$B79&lt;'1331'!$I$9),"x","")</f>
        <v/>
      </c>
      <c r="U79" s="90" t="str">
        <f>IF(AND($K79=$S$7,$B79&lt;'1331'!$I$9),"x","")</f>
        <v/>
      </c>
      <c r="V79" s="90" t="str">
        <f>IF(AND('3411-CT'!$E$9=TH!H79,OR(TH!J79=TH!$V$7,K79=TH!$V$7)),"x","")</f>
        <v/>
      </c>
      <c r="W79" s="90" t="str">
        <f>IF(OR(TH!J79=TH!$W$7,K79=TH!$W$7),"x","")</f>
        <v/>
      </c>
      <c r="X79" s="90" t="str">
        <f t="shared" si="3"/>
        <v>2</v>
      </c>
    </row>
    <row r="80" spans="1:24" s="77" customFormat="1" ht="15.75" customHeight="1">
      <c r="A80" s="158" t="str">
        <f>IF(B80&lt;&gt;"",IF(AND(B80&gt;=_TM1,B80&lt;=_TM2,OR(TH!J80="1111",TH!K80="1111")),TH!D80,""),"")</f>
        <v/>
      </c>
      <c r="B80" s="63">
        <f t="shared" si="4"/>
        <v>6</v>
      </c>
      <c r="C80" s="64">
        <v>41810</v>
      </c>
      <c r="D80" s="64" t="s">
        <v>8</v>
      </c>
      <c r="E80" s="64">
        <v>41810</v>
      </c>
      <c r="F80" s="67" t="s">
        <v>29</v>
      </c>
      <c r="G80" s="449"/>
      <c r="H80" s="79"/>
      <c r="I80" s="65">
        <v>50000</v>
      </c>
      <c r="J80" s="66" t="s">
        <v>140</v>
      </c>
      <c r="K80" s="66" t="s">
        <v>34</v>
      </c>
      <c r="L80" s="90" t="str">
        <f>IF(AND('331-CT'!$E$7=TH!H80,OR(J80="331",K80="331")),"x","")</f>
        <v/>
      </c>
      <c r="M80" s="90" t="str">
        <f>IF(AND($B80&gt;='1111'!$N$10,$B80&lt;='1111'!$O$10,OR($J80=$M$7,$K80=$M$7)),"x","")</f>
        <v/>
      </c>
      <c r="N80" s="90" t="str">
        <f>IF(AND($J80=$M$7,$B80&lt;'1111'!$N$10),"x","")</f>
        <v/>
      </c>
      <c r="O80" s="90" t="str">
        <f>IF(AND($K80=$M$7,$B80&lt;'1111'!$N$10),"x","")</f>
        <v/>
      </c>
      <c r="P80" s="90" t="str">
        <f>IF(AND($B80&gt;='1121'!$N$9,$B80&lt;='1121'!$O$9,OR($J80=$P$7,$K80=$P$7)),"x","")</f>
        <v/>
      </c>
      <c r="Q80" s="90" t="str">
        <f>IF(AND($J80=$P$7,$B80&lt;'1121'!$N$9),"x","")</f>
        <v/>
      </c>
      <c r="R80" s="90" t="str">
        <f>IF(AND($K80=$P$7,$B80&lt;'1121'!$N$9),"x","")</f>
        <v>x</v>
      </c>
      <c r="S80" s="90" t="str">
        <f>IF(AND($B80&gt;='1331'!$I$9,$B80&lt;='1331'!$J$9,OR($J80=$S$7,$K80=$S$7)),"x","")</f>
        <v/>
      </c>
      <c r="T80" s="90" t="str">
        <f>IF(AND($J80=$S$7,$B80&lt;'1331'!$I$9),"x","")</f>
        <v/>
      </c>
      <c r="U80" s="90" t="str">
        <f>IF(AND($K80=$S$7,$B80&lt;'1331'!$I$9),"x","")</f>
        <v/>
      </c>
      <c r="V80" s="90" t="str">
        <f>IF(AND('3411-CT'!$E$9=TH!H80,OR(TH!J80=TH!$V$7,K80=TH!$V$7)),"x","")</f>
        <v/>
      </c>
      <c r="W80" s="90" t="str">
        <f>IF(OR(TH!J80=TH!$W$7,K80=TH!$W$7),"x","")</f>
        <v/>
      </c>
      <c r="X80" s="90" t="str">
        <f t="shared" si="3"/>
        <v>2</v>
      </c>
    </row>
    <row r="81" spans="1:24" s="77" customFormat="1" ht="15.75" customHeight="1">
      <c r="A81" s="158" t="str">
        <f>IF(B81&lt;&gt;"",IF(AND(B81&gt;=_TM1,B81&lt;=_TM2,OR(TH!J81="1111",TH!K81="1111")),TH!D81,""),"")</f>
        <v/>
      </c>
      <c r="B81" s="63">
        <f t="shared" si="4"/>
        <v>6</v>
      </c>
      <c r="C81" s="75">
        <v>41810</v>
      </c>
      <c r="D81" s="64" t="s">
        <v>8</v>
      </c>
      <c r="E81" s="64">
        <v>41810</v>
      </c>
      <c r="F81" s="67" t="s">
        <v>26</v>
      </c>
      <c r="G81" s="439"/>
      <c r="H81" s="79"/>
      <c r="I81" s="65">
        <v>5000</v>
      </c>
      <c r="J81" s="68" t="s">
        <v>10</v>
      </c>
      <c r="K81" s="66" t="s">
        <v>34</v>
      </c>
      <c r="L81" s="90" t="str">
        <f>IF(AND('331-CT'!$E$7=TH!H81,OR(J81="331",K81="331")),"x","")</f>
        <v/>
      </c>
      <c r="M81" s="90" t="str">
        <f>IF(AND($B81&gt;='1111'!$N$10,$B81&lt;='1111'!$O$10,OR($J81=$M$7,$K81=$M$7)),"x","")</f>
        <v/>
      </c>
      <c r="N81" s="90" t="str">
        <f>IF(AND($J81=$M$7,$B81&lt;'1111'!$N$10),"x","")</f>
        <v/>
      </c>
      <c r="O81" s="90" t="str">
        <f>IF(AND($K81=$M$7,$B81&lt;'1111'!$N$10),"x","")</f>
        <v/>
      </c>
      <c r="P81" s="90" t="str">
        <f>IF(AND($B81&gt;='1121'!$N$9,$B81&lt;='1121'!$O$9,OR($J81=$P$7,$K81=$P$7)),"x","")</f>
        <v/>
      </c>
      <c r="Q81" s="90" t="str">
        <f>IF(AND($J81=$P$7,$B81&lt;'1121'!$N$9),"x","")</f>
        <v/>
      </c>
      <c r="R81" s="90" t="str">
        <f>IF(AND($K81=$P$7,$B81&lt;'1121'!$N$9),"x","")</f>
        <v>x</v>
      </c>
      <c r="S81" s="90" t="str">
        <f>IF(AND($B81&gt;='1331'!$I$9,$B81&lt;='1331'!$J$9,OR($J81=$S$7,$K81=$S$7)),"x","")</f>
        <v/>
      </c>
      <c r="T81" s="90" t="str">
        <f>IF(AND($J81=$S$7,$B81&lt;'1331'!$I$9),"x","")</f>
        <v>x</v>
      </c>
      <c r="U81" s="90" t="str">
        <f>IF(AND($K81=$S$7,$B81&lt;'1331'!$I$9),"x","")</f>
        <v/>
      </c>
      <c r="V81" s="90" t="str">
        <f>IF(AND('3411-CT'!$E$9=TH!H81,OR(TH!J81=TH!$V$7,K81=TH!$V$7)),"x","")</f>
        <v/>
      </c>
      <c r="W81" s="90" t="str">
        <f>IF(OR(TH!J81=TH!$W$7,K81=TH!$W$7),"x","")</f>
        <v/>
      </c>
      <c r="X81" s="90" t="str">
        <f t="shared" si="3"/>
        <v>2</v>
      </c>
    </row>
    <row r="82" spans="1:24" s="77" customFormat="1" ht="15.75" customHeight="1">
      <c r="A82" s="158" t="str">
        <f>IF(B82&lt;&gt;"",IF(AND(B82&gt;=_TM1,B82&lt;=_TM2,OR(TH!J82="1111",TH!K82="1111")),TH!D82,""),"")</f>
        <v/>
      </c>
      <c r="B82" s="63">
        <f t="shared" si="4"/>
        <v>6</v>
      </c>
      <c r="C82" s="64">
        <v>41810</v>
      </c>
      <c r="D82" s="64" t="s">
        <v>8</v>
      </c>
      <c r="E82" s="64">
        <v>41810</v>
      </c>
      <c r="F82" s="67" t="s">
        <v>305</v>
      </c>
      <c r="G82" s="439"/>
      <c r="H82" s="79"/>
      <c r="I82" s="65">
        <v>50000</v>
      </c>
      <c r="J82" s="66" t="s">
        <v>140</v>
      </c>
      <c r="K82" s="66" t="s">
        <v>34</v>
      </c>
      <c r="L82" s="90" t="str">
        <f>IF(AND('331-CT'!$E$7=TH!H82,OR(J82="331",K82="331")),"x","")</f>
        <v/>
      </c>
      <c r="M82" s="90" t="str">
        <f>IF(AND($B82&gt;='1111'!$N$10,$B82&lt;='1111'!$O$10,OR($J82=$M$7,$K82=$M$7)),"x","")</f>
        <v/>
      </c>
      <c r="N82" s="90" t="str">
        <f>IF(AND($J82=$M$7,$B82&lt;'1111'!$N$10),"x","")</f>
        <v/>
      </c>
      <c r="O82" s="90" t="str">
        <f>IF(AND($K82=$M$7,$B82&lt;'1111'!$N$10),"x","")</f>
        <v/>
      </c>
      <c r="P82" s="90" t="str">
        <f>IF(AND($B82&gt;='1121'!$N$9,$B82&lt;='1121'!$O$9,OR($J82=$P$7,$K82=$P$7)),"x","")</f>
        <v/>
      </c>
      <c r="Q82" s="90" t="str">
        <f>IF(AND($J82=$P$7,$B82&lt;'1121'!$N$9),"x","")</f>
        <v/>
      </c>
      <c r="R82" s="90" t="str">
        <f>IF(AND($K82=$P$7,$B82&lt;'1121'!$N$9),"x","")</f>
        <v>x</v>
      </c>
      <c r="S82" s="90" t="str">
        <f>IF(AND($B82&gt;='1331'!$I$9,$B82&lt;='1331'!$J$9,OR($J82=$S$7,$K82=$S$7)),"x","")</f>
        <v/>
      </c>
      <c r="T82" s="90" t="str">
        <f>IF(AND($J82=$S$7,$B82&lt;'1331'!$I$9),"x","")</f>
        <v/>
      </c>
      <c r="U82" s="90" t="str">
        <f>IF(AND($K82=$S$7,$B82&lt;'1331'!$I$9),"x","")</f>
        <v/>
      </c>
      <c r="V82" s="90" t="str">
        <f>IF(AND('3411-CT'!$E$9=TH!H82,OR(TH!J82=TH!$V$7,K82=TH!$V$7)),"x","")</f>
        <v/>
      </c>
      <c r="W82" s="90" t="str">
        <f>IF(OR(TH!J82=TH!$W$7,K82=TH!$W$7),"x","")</f>
        <v/>
      </c>
      <c r="X82" s="90" t="str">
        <f t="shared" ref="X82:X145" si="5">IF(AND(1&lt;=$B82,$B82&lt;=3),"1",IF(AND(4&lt;=$B82,$B82&lt;=6),"2",IF(AND(7&lt;=$B82,$B82&lt;=9),"3",IF(AND(10&lt;=$B82,$B82&lt;=12),"4",""))))</f>
        <v>2</v>
      </c>
    </row>
    <row r="83" spans="1:24" s="77" customFormat="1" ht="15.75" customHeight="1">
      <c r="A83" s="158" t="str">
        <f>IF(B83&lt;&gt;"",IF(AND(B83&gt;=_TM1,B83&lt;=_TM2,OR(TH!J83="1111",TH!K83="1111")),TH!D83,""),"")</f>
        <v/>
      </c>
      <c r="B83" s="63">
        <f t="shared" si="4"/>
        <v>6</v>
      </c>
      <c r="C83" s="64">
        <v>41810</v>
      </c>
      <c r="D83" s="64" t="s">
        <v>8</v>
      </c>
      <c r="E83" s="64">
        <v>41810</v>
      </c>
      <c r="F83" s="67" t="s">
        <v>26</v>
      </c>
      <c r="G83" s="439"/>
      <c r="H83" s="79"/>
      <c r="I83" s="65">
        <v>5000</v>
      </c>
      <c r="J83" s="66" t="s">
        <v>10</v>
      </c>
      <c r="K83" s="66" t="s">
        <v>34</v>
      </c>
      <c r="L83" s="90" t="str">
        <f>IF(AND('331-CT'!$E$7=TH!H83,OR(J83="331",K83="331")),"x","")</f>
        <v/>
      </c>
      <c r="M83" s="90" t="str">
        <f>IF(AND($B83&gt;='1111'!$N$10,$B83&lt;='1111'!$O$10,OR($J83=$M$7,$K83=$M$7)),"x","")</f>
        <v/>
      </c>
      <c r="N83" s="90" t="str">
        <f>IF(AND($J83=$M$7,$B83&lt;'1111'!$N$10),"x","")</f>
        <v/>
      </c>
      <c r="O83" s="90" t="str">
        <f>IF(AND($K83=$M$7,$B83&lt;'1111'!$N$10),"x","")</f>
        <v/>
      </c>
      <c r="P83" s="90" t="str">
        <f>IF(AND($B83&gt;='1121'!$N$9,$B83&lt;='1121'!$O$9,OR($J83=$P$7,$K83=$P$7)),"x","")</f>
        <v/>
      </c>
      <c r="Q83" s="90" t="str">
        <f>IF(AND($J83=$P$7,$B83&lt;'1121'!$N$9),"x","")</f>
        <v/>
      </c>
      <c r="R83" s="90" t="str">
        <f>IF(AND($K83=$P$7,$B83&lt;'1121'!$N$9),"x","")</f>
        <v>x</v>
      </c>
      <c r="S83" s="90" t="str">
        <f>IF(AND($B83&gt;='1331'!$I$9,$B83&lt;='1331'!$J$9,OR($J83=$S$7,$K83=$S$7)),"x","")</f>
        <v/>
      </c>
      <c r="T83" s="90" t="str">
        <f>IF(AND($J83=$S$7,$B83&lt;'1331'!$I$9),"x","")</f>
        <v>x</v>
      </c>
      <c r="U83" s="90" t="str">
        <f>IF(AND($K83=$S$7,$B83&lt;'1331'!$I$9),"x","")</f>
        <v/>
      </c>
      <c r="V83" s="90" t="str">
        <f>IF(AND('3411-CT'!$E$9=TH!H83,OR(TH!J83=TH!$V$7,K83=TH!$V$7)),"x","")</f>
        <v/>
      </c>
      <c r="W83" s="90" t="str">
        <f>IF(OR(TH!J83=TH!$W$7,K83=TH!$W$7),"x","")</f>
        <v/>
      </c>
      <c r="X83" s="90" t="str">
        <f t="shared" si="5"/>
        <v>2</v>
      </c>
    </row>
    <row r="84" spans="1:24" s="77" customFormat="1" ht="15.75" customHeight="1">
      <c r="A84" s="158" t="str">
        <f>IF(B84&lt;&gt;"",IF(AND(B84&gt;=_TM1,B84&lt;=_TM2,OR(TH!J84="1111",TH!K84="1111")),TH!D84,""),"")</f>
        <v/>
      </c>
      <c r="B84" s="63">
        <f t="shared" si="4"/>
        <v>6</v>
      </c>
      <c r="C84" s="64">
        <v>41810</v>
      </c>
      <c r="D84" s="64" t="s">
        <v>8</v>
      </c>
      <c r="E84" s="64">
        <v>41810</v>
      </c>
      <c r="F84" s="67" t="s">
        <v>28</v>
      </c>
      <c r="G84" s="449"/>
      <c r="H84" s="79"/>
      <c r="I84" s="65">
        <v>50000</v>
      </c>
      <c r="J84" s="66" t="s">
        <v>140</v>
      </c>
      <c r="K84" s="66" t="s">
        <v>34</v>
      </c>
      <c r="L84" s="90" t="str">
        <f>IF(AND('331-CT'!$E$7=TH!H84,OR(J84="331",K84="331")),"x","")</f>
        <v/>
      </c>
      <c r="M84" s="90" t="str">
        <f>IF(AND($B84&gt;='1111'!$N$10,$B84&lt;='1111'!$O$10,OR($J84=$M$7,$K84=$M$7)),"x","")</f>
        <v/>
      </c>
      <c r="N84" s="90" t="str">
        <f>IF(AND($J84=$M$7,$B84&lt;'1111'!$N$10),"x","")</f>
        <v/>
      </c>
      <c r="O84" s="90" t="str">
        <f>IF(AND($K84=$M$7,$B84&lt;'1111'!$N$10),"x","")</f>
        <v/>
      </c>
      <c r="P84" s="90" t="str">
        <f>IF(AND($B84&gt;='1121'!$N$9,$B84&lt;='1121'!$O$9,OR($J84=$P$7,$K84=$P$7)),"x","")</f>
        <v/>
      </c>
      <c r="Q84" s="90" t="str">
        <f>IF(AND($J84=$P$7,$B84&lt;'1121'!$N$9),"x","")</f>
        <v/>
      </c>
      <c r="R84" s="90" t="str">
        <f>IF(AND($K84=$P$7,$B84&lt;'1121'!$N$9),"x","")</f>
        <v>x</v>
      </c>
      <c r="S84" s="90" t="str">
        <f>IF(AND($B84&gt;='1331'!$I$9,$B84&lt;='1331'!$J$9,OR($J84=$S$7,$K84=$S$7)),"x","")</f>
        <v/>
      </c>
      <c r="T84" s="90" t="str">
        <f>IF(AND($J84=$S$7,$B84&lt;'1331'!$I$9),"x","")</f>
        <v/>
      </c>
      <c r="U84" s="90" t="str">
        <f>IF(AND($K84=$S$7,$B84&lt;'1331'!$I$9),"x","")</f>
        <v/>
      </c>
      <c r="V84" s="90" t="str">
        <f>IF(AND('3411-CT'!$E$9=TH!H84,OR(TH!J84=TH!$V$7,K84=TH!$V$7)),"x","")</f>
        <v/>
      </c>
      <c r="W84" s="90" t="str">
        <f>IF(OR(TH!J84=TH!$W$7,K84=TH!$W$7),"x","")</f>
        <v/>
      </c>
      <c r="X84" s="90" t="str">
        <f t="shared" si="5"/>
        <v>2</v>
      </c>
    </row>
    <row r="85" spans="1:24" s="77" customFormat="1" ht="15.75" customHeight="1">
      <c r="A85" s="158" t="str">
        <f>IF(B85&lt;&gt;"",IF(AND(B85&gt;=_TM1,B85&lt;=_TM2,OR(TH!J85="1111",TH!K85="1111")),TH!D85,""),"")</f>
        <v/>
      </c>
      <c r="B85" s="63">
        <f t="shared" si="4"/>
        <v>6</v>
      </c>
      <c r="C85" s="64">
        <v>41810</v>
      </c>
      <c r="D85" s="64" t="s">
        <v>8</v>
      </c>
      <c r="E85" s="64">
        <v>41810</v>
      </c>
      <c r="F85" s="67" t="s">
        <v>26</v>
      </c>
      <c r="G85" s="449"/>
      <c r="H85" s="79"/>
      <c r="I85" s="65">
        <v>5000</v>
      </c>
      <c r="J85" s="66" t="s">
        <v>10</v>
      </c>
      <c r="K85" s="66" t="s">
        <v>34</v>
      </c>
      <c r="L85" s="90" t="str">
        <f>IF(AND('331-CT'!$E$7=TH!H85,OR(J85="331",K85="331")),"x","")</f>
        <v/>
      </c>
      <c r="M85" s="90" t="str">
        <f>IF(AND($B85&gt;='1111'!$N$10,$B85&lt;='1111'!$O$10,OR($J85=$M$7,$K85=$M$7)),"x","")</f>
        <v/>
      </c>
      <c r="N85" s="90" t="str">
        <f>IF(AND($J85=$M$7,$B85&lt;'1111'!$N$10),"x","")</f>
        <v/>
      </c>
      <c r="O85" s="90" t="str">
        <f>IF(AND($K85=$M$7,$B85&lt;'1111'!$N$10),"x","")</f>
        <v/>
      </c>
      <c r="P85" s="90" t="str">
        <f>IF(AND($B85&gt;='1121'!$N$9,$B85&lt;='1121'!$O$9,OR($J85=$P$7,$K85=$P$7)),"x","")</f>
        <v/>
      </c>
      <c r="Q85" s="90" t="str">
        <f>IF(AND($J85=$P$7,$B85&lt;'1121'!$N$9),"x","")</f>
        <v/>
      </c>
      <c r="R85" s="90" t="str">
        <f>IF(AND($K85=$P$7,$B85&lt;'1121'!$N$9),"x","")</f>
        <v>x</v>
      </c>
      <c r="S85" s="90" t="str">
        <f>IF(AND($B85&gt;='1331'!$I$9,$B85&lt;='1331'!$J$9,OR($J85=$S$7,$K85=$S$7)),"x","")</f>
        <v/>
      </c>
      <c r="T85" s="90" t="str">
        <f>IF(AND($J85=$S$7,$B85&lt;'1331'!$I$9),"x","")</f>
        <v>x</v>
      </c>
      <c r="U85" s="90" t="str">
        <f>IF(AND($K85=$S$7,$B85&lt;'1331'!$I$9),"x","")</f>
        <v/>
      </c>
      <c r="V85" s="90" t="str">
        <f>IF(AND('3411-CT'!$E$9=TH!H85,OR(TH!J85=TH!$V$7,K85=TH!$V$7)),"x","")</f>
        <v/>
      </c>
      <c r="W85" s="90" t="str">
        <f>IF(OR(TH!J85=TH!$W$7,K85=TH!$W$7),"x","")</f>
        <v/>
      </c>
      <c r="X85" s="90" t="str">
        <f t="shared" si="5"/>
        <v>2</v>
      </c>
    </row>
    <row r="86" spans="1:24" s="77" customFormat="1" ht="15.75" customHeight="1">
      <c r="A86" s="158" t="str">
        <f>IF(B86&lt;&gt;"",IF(AND(B86&gt;=_TM1,B86&lt;=_TM2,OR(TH!J86="1111",TH!K86="1111")),TH!D86,""),"")</f>
        <v/>
      </c>
      <c r="B86" s="63">
        <f t="shared" si="4"/>
        <v>6</v>
      </c>
      <c r="C86" s="64">
        <v>41813</v>
      </c>
      <c r="D86" s="64" t="s">
        <v>8</v>
      </c>
      <c r="E86" s="64">
        <v>41813</v>
      </c>
      <c r="F86" s="67" t="s">
        <v>314</v>
      </c>
      <c r="G86" s="439"/>
      <c r="H86" s="79" t="s">
        <v>58</v>
      </c>
      <c r="I86" s="65">
        <v>30000000</v>
      </c>
      <c r="J86" s="66" t="s">
        <v>9</v>
      </c>
      <c r="K86" s="66" t="s">
        <v>34</v>
      </c>
      <c r="L86" s="90" t="str">
        <f>IF(AND('331-CT'!$E$7=TH!H86,OR(J86="331",K86="331")),"x","")</f>
        <v/>
      </c>
      <c r="M86" s="90" t="str">
        <f>IF(AND($B86&gt;='1111'!$N$10,$B86&lt;='1111'!$O$10,OR($J86=$M$7,$K86=$M$7)),"x","")</f>
        <v/>
      </c>
      <c r="N86" s="90" t="str">
        <f>IF(AND($J86=$M$7,$B86&lt;'1111'!$N$10),"x","")</f>
        <v/>
      </c>
      <c r="O86" s="90" t="str">
        <f>IF(AND($K86=$M$7,$B86&lt;'1111'!$N$10),"x","")</f>
        <v/>
      </c>
      <c r="P86" s="90" t="str">
        <f>IF(AND($B86&gt;='1121'!$N$9,$B86&lt;='1121'!$O$9,OR($J86=$P$7,$K86=$P$7)),"x","")</f>
        <v/>
      </c>
      <c r="Q86" s="90" t="str">
        <f>IF(AND($J86=$P$7,$B86&lt;'1121'!$N$9),"x","")</f>
        <v/>
      </c>
      <c r="R86" s="90" t="str">
        <f>IF(AND($K86=$P$7,$B86&lt;'1121'!$N$9),"x","")</f>
        <v>x</v>
      </c>
      <c r="S86" s="90" t="str">
        <f>IF(AND($B86&gt;='1331'!$I$9,$B86&lt;='1331'!$J$9,OR($J86=$S$7,$K86=$S$7)),"x","")</f>
        <v/>
      </c>
      <c r="T86" s="90" t="str">
        <f>IF(AND($J86=$S$7,$B86&lt;'1331'!$I$9),"x","")</f>
        <v/>
      </c>
      <c r="U86" s="90" t="str">
        <f>IF(AND($K86=$S$7,$B86&lt;'1331'!$I$9),"x","")</f>
        <v/>
      </c>
      <c r="V86" s="90" t="str">
        <f>IF(AND('3411-CT'!$E$9=TH!H86,OR(TH!J86=TH!$V$7,K86=TH!$V$7)),"x","")</f>
        <v/>
      </c>
      <c r="W86" s="90" t="str">
        <f>IF(OR(TH!J86=TH!$W$7,K86=TH!$W$7),"x","")</f>
        <v/>
      </c>
      <c r="X86" s="90" t="str">
        <f t="shared" si="5"/>
        <v>2</v>
      </c>
    </row>
    <row r="87" spans="1:24" s="91" customFormat="1" ht="15.75" customHeight="1">
      <c r="A87" s="158" t="str">
        <f>IF(B87&lt;&gt;"",IF(AND(B87&gt;=_TM1,B87&lt;=_TM2,OR(TH!J87="1111",TH!K87="1111")),TH!D87,""),"")</f>
        <v/>
      </c>
      <c r="B87" s="63">
        <f t="shared" si="4"/>
        <v>6</v>
      </c>
      <c r="C87" s="64">
        <v>41813</v>
      </c>
      <c r="D87" s="64" t="s">
        <v>8</v>
      </c>
      <c r="E87" s="64">
        <v>41813</v>
      </c>
      <c r="F87" s="67" t="s">
        <v>21</v>
      </c>
      <c r="G87" s="439"/>
      <c r="H87" s="79"/>
      <c r="I87" s="65">
        <v>20000</v>
      </c>
      <c r="J87" s="66" t="s">
        <v>140</v>
      </c>
      <c r="K87" s="66" t="s">
        <v>34</v>
      </c>
      <c r="L87" s="90" t="str">
        <f>IF(AND('331-CT'!$E$7=TH!H87,OR(J87="331",K87="331")),"x","")</f>
        <v/>
      </c>
      <c r="M87" s="90" t="str">
        <f>IF(AND($B87&gt;='1111'!$N$10,$B87&lt;='1111'!$O$10,OR($J87=$M$7,$K87=$M$7)),"x","")</f>
        <v/>
      </c>
      <c r="N87" s="90" t="str">
        <f>IF(AND($J87=$M$7,$B87&lt;'1111'!$N$10),"x","")</f>
        <v/>
      </c>
      <c r="O87" s="90" t="str">
        <f>IF(AND($K87=$M$7,$B87&lt;'1111'!$N$10),"x","")</f>
        <v/>
      </c>
      <c r="P87" s="90" t="str">
        <f>IF(AND($B87&gt;='1121'!$N$9,$B87&lt;='1121'!$O$9,OR($J87=$P$7,$K87=$P$7)),"x","")</f>
        <v/>
      </c>
      <c r="Q87" s="90" t="str">
        <f>IF(AND($J87=$P$7,$B87&lt;'1121'!$N$9),"x","")</f>
        <v/>
      </c>
      <c r="R87" s="90" t="str">
        <f>IF(AND($K87=$P$7,$B87&lt;'1121'!$N$9),"x","")</f>
        <v>x</v>
      </c>
      <c r="S87" s="90" t="str">
        <f>IF(AND($B87&gt;='1331'!$I$9,$B87&lt;='1331'!$J$9,OR($J87=$S$7,$K87=$S$7)),"x","")</f>
        <v/>
      </c>
      <c r="T87" s="90" t="str">
        <f>IF(AND($J87=$S$7,$B87&lt;'1331'!$I$9),"x","")</f>
        <v/>
      </c>
      <c r="U87" s="90" t="str">
        <f>IF(AND($K87=$S$7,$B87&lt;'1331'!$I$9),"x","")</f>
        <v/>
      </c>
      <c r="V87" s="90" t="str">
        <f>IF(AND('3411-CT'!$E$9=TH!H87,OR(TH!J87=TH!$V$7,K87=TH!$V$7)),"x","")</f>
        <v/>
      </c>
      <c r="W87" s="90" t="str">
        <f>IF(OR(TH!J87=TH!$W$7,K87=TH!$W$7),"x","")</f>
        <v/>
      </c>
      <c r="X87" s="90" t="str">
        <f t="shared" si="5"/>
        <v>2</v>
      </c>
    </row>
    <row r="88" spans="1:24" s="91" customFormat="1" ht="15.75" customHeight="1">
      <c r="A88" s="158" t="str">
        <f>IF(B88&lt;&gt;"",IF(AND(B88&gt;=_TM1,B88&lt;=_TM2,OR(TH!J88="1111",TH!K88="1111")),TH!D88,""),"")</f>
        <v/>
      </c>
      <c r="B88" s="63">
        <f t="shared" si="4"/>
        <v>6</v>
      </c>
      <c r="C88" s="64">
        <v>41813</v>
      </c>
      <c r="D88" s="64" t="s">
        <v>8</v>
      </c>
      <c r="E88" s="64">
        <v>41813</v>
      </c>
      <c r="F88" s="67" t="s">
        <v>22</v>
      </c>
      <c r="G88" s="439"/>
      <c r="H88" s="79"/>
      <c r="I88" s="65">
        <v>2000</v>
      </c>
      <c r="J88" s="66" t="s">
        <v>10</v>
      </c>
      <c r="K88" s="66" t="s">
        <v>34</v>
      </c>
      <c r="L88" s="90" t="str">
        <f>IF(AND('331-CT'!$E$7=TH!H88,OR(J88="331",K88="331")),"x","")</f>
        <v/>
      </c>
      <c r="M88" s="90" t="str">
        <f>IF(AND($B88&gt;='1111'!$N$10,$B88&lt;='1111'!$O$10,OR($J88=$M$7,$K88=$M$7)),"x","")</f>
        <v/>
      </c>
      <c r="N88" s="90" t="str">
        <f>IF(AND($J88=$M$7,$B88&lt;'1111'!$N$10),"x","")</f>
        <v/>
      </c>
      <c r="O88" s="90" t="str">
        <f>IF(AND($K88=$M$7,$B88&lt;'1111'!$N$10),"x","")</f>
        <v/>
      </c>
      <c r="P88" s="90" t="str">
        <f>IF(AND($B88&gt;='1121'!$N$9,$B88&lt;='1121'!$O$9,OR($J88=$P$7,$K88=$P$7)),"x","")</f>
        <v/>
      </c>
      <c r="Q88" s="90" t="str">
        <f>IF(AND($J88=$P$7,$B88&lt;'1121'!$N$9),"x","")</f>
        <v/>
      </c>
      <c r="R88" s="90" t="str">
        <f>IF(AND($K88=$P$7,$B88&lt;'1121'!$N$9),"x","")</f>
        <v>x</v>
      </c>
      <c r="S88" s="90" t="str">
        <f>IF(AND($B88&gt;='1331'!$I$9,$B88&lt;='1331'!$J$9,OR($J88=$S$7,$K88=$S$7)),"x","")</f>
        <v/>
      </c>
      <c r="T88" s="90" t="str">
        <f>IF(AND($J88=$S$7,$B88&lt;'1331'!$I$9),"x","")</f>
        <v>x</v>
      </c>
      <c r="U88" s="90" t="str">
        <f>IF(AND($K88=$S$7,$B88&lt;'1331'!$I$9),"x","")</f>
        <v/>
      </c>
      <c r="V88" s="90" t="str">
        <f>IF(AND('3411-CT'!$E$9=TH!H88,OR(TH!J88=TH!$V$7,K88=TH!$V$7)),"x","")</f>
        <v/>
      </c>
      <c r="W88" s="90" t="str">
        <f>IF(OR(TH!J88=TH!$W$7,K88=TH!$W$7),"x","")</f>
        <v/>
      </c>
      <c r="X88" s="90" t="str">
        <f t="shared" si="5"/>
        <v>2</v>
      </c>
    </row>
    <row r="89" spans="1:24" s="77" customFormat="1" ht="15.75" customHeight="1">
      <c r="A89" s="158" t="str">
        <f>IF(B89&lt;&gt;"",IF(AND(B89&gt;=_TM1,B89&lt;=_TM2,OR(TH!J89="1111",TH!K89="1111")),TH!D89,""),"")</f>
        <v/>
      </c>
      <c r="B89" s="63">
        <f t="shared" si="4"/>
        <v>7</v>
      </c>
      <c r="C89" s="64">
        <v>41821</v>
      </c>
      <c r="D89" s="64" t="s">
        <v>8</v>
      </c>
      <c r="E89" s="64">
        <v>41821</v>
      </c>
      <c r="F89" s="67" t="s">
        <v>63</v>
      </c>
      <c r="G89" s="439"/>
      <c r="H89" s="79"/>
      <c r="I89" s="65">
        <v>100000</v>
      </c>
      <c r="J89" s="66" t="s">
        <v>140</v>
      </c>
      <c r="K89" s="66" t="s">
        <v>34</v>
      </c>
      <c r="L89" s="90" t="str">
        <f>IF(AND('331-CT'!$E$7=TH!H89,OR(J89="331",K89="331")),"x","")</f>
        <v/>
      </c>
      <c r="M89" s="90" t="str">
        <f>IF(AND($B89&gt;='1111'!$N$10,$B89&lt;='1111'!$O$10,OR($J89=$M$7,$K89=$M$7)),"x","")</f>
        <v/>
      </c>
      <c r="N89" s="90" t="str">
        <f>IF(AND($J89=$M$7,$B89&lt;'1111'!$N$10),"x","")</f>
        <v/>
      </c>
      <c r="O89" s="90" t="str">
        <f>IF(AND($K89=$M$7,$B89&lt;'1111'!$N$10),"x","")</f>
        <v/>
      </c>
      <c r="P89" s="90" t="str">
        <f>IF(AND($B89&gt;='1121'!$N$9,$B89&lt;='1121'!$O$9,OR($J89=$P$7,$K89=$P$7)),"x","")</f>
        <v/>
      </c>
      <c r="Q89" s="90" t="str">
        <f>IF(AND($J89=$P$7,$B89&lt;'1121'!$N$9),"x","")</f>
        <v/>
      </c>
      <c r="R89" s="90" t="str">
        <f>IF(AND($K89=$P$7,$B89&lt;'1121'!$N$9),"x","")</f>
        <v>x</v>
      </c>
      <c r="S89" s="90" t="str">
        <f>IF(AND($B89&gt;='1331'!$I$9,$B89&lt;='1331'!$J$9,OR($J89=$S$7,$K89=$S$7)),"x","")</f>
        <v/>
      </c>
      <c r="T89" s="90" t="str">
        <f>IF(AND($J89=$S$7,$B89&lt;'1331'!$I$9),"x","")</f>
        <v/>
      </c>
      <c r="U89" s="90" t="str">
        <f>IF(AND($K89=$S$7,$B89&lt;'1331'!$I$9),"x","")</f>
        <v/>
      </c>
      <c r="V89" s="90" t="str">
        <f>IF(AND('3411-CT'!$E$9=TH!H89,OR(TH!J89=TH!$V$7,K89=TH!$V$7)),"x","")</f>
        <v/>
      </c>
      <c r="W89" s="90" t="str">
        <f>IF(OR(TH!J89=TH!$W$7,K89=TH!$W$7),"x","")</f>
        <v/>
      </c>
      <c r="X89" s="90" t="str">
        <f t="shared" si="5"/>
        <v>3</v>
      </c>
    </row>
    <row r="90" spans="1:24" s="77" customFormat="1" ht="15.75" customHeight="1">
      <c r="A90" s="158" t="str">
        <f>IF(B90&lt;&gt;"",IF(AND(B90&gt;=_TM1,B90&lt;=_TM2,OR(TH!J90="1111",TH!K90="1111")),TH!D90,""),"")</f>
        <v/>
      </c>
      <c r="B90" s="63">
        <f t="shared" si="4"/>
        <v>7</v>
      </c>
      <c r="C90" s="64">
        <v>41821</v>
      </c>
      <c r="D90" s="64" t="s">
        <v>8</v>
      </c>
      <c r="E90" s="64">
        <v>41821</v>
      </c>
      <c r="F90" s="67" t="s">
        <v>64</v>
      </c>
      <c r="G90" s="439"/>
      <c r="H90" s="79"/>
      <c r="I90" s="65">
        <v>10000</v>
      </c>
      <c r="J90" s="66" t="s">
        <v>10</v>
      </c>
      <c r="K90" s="66" t="s">
        <v>34</v>
      </c>
      <c r="L90" s="90" t="str">
        <f>IF(AND('331-CT'!$E$7=TH!H90,OR(J90="331",K90="331")),"x","")</f>
        <v/>
      </c>
      <c r="M90" s="90" t="str">
        <f>IF(AND($B90&gt;='1111'!$N$10,$B90&lt;='1111'!$O$10,OR($J90=$M$7,$K90=$M$7)),"x","")</f>
        <v/>
      </c>
      <c r="N90" s="90" t="str">
        <f>IF(AND($J90=$M$7,$B90&lt;'1111'!$N$10),"x","")</f>
        <v/>
      </c>
      <c r="O90" s="90" t="str">
        <f>IF(AND($K90=$M$7,$B90&lt;'1111'!$N$10),"x","")</f>
        <v/>
      </c>
      <c r="P90" s="90" t="str">
        <f>IF(AND($B90&gt;='1121'!$N$9,$B90&lt;='1121'!$O$9,OR($J90=$P$7,$K90=$P$7)),"x","")</f>
        <v/>
      </c>
      <c r="Q90" s="90" t="str">
        <f>IF(AND($J90=$P$7,$B90&lt;'1121'!$N$9),"x","")</f>
        <v/>
      </c>
      <c r="R90" s="90" t="str">
        <f>IF(AND($K90=$P$7,$B90&lt;'1121'!$N$9),"x","")</f>
        <v>x</v>
      </c>
      <c r="S90" s="90" t="str">
        <f>IF(AND($B90&gt;='1331'!$I$9,$B90&lt;='1331'!$J$9,OR($J90=$S$7,$K90=$S$7)),"x","")</f>
        <v>x</v>
      </c>
      <c r="T90" s="90" t="str">
        <f>IF(AND($J90=$S$7,$B90&lt;'1331'!$I$9),"x","")</f>
        <v/>
      </c>
      <c r="U90" s="90" t="str">
        <f>IF(AND($K90=$S$7,$B90&lt;'1331'!$I$9),"x","")</f>
        <v/>
      </c>
      <c r="V90" s="90" t="str">
        <f>IF(AND('3411-CT'!$E$9=TH!H90,OR(TH!J90=TH!$V$7,K90=TH!$V$7)),"x","")</f>
        <v/>
      </c>
      <c r="W90" s="90" t="str">
        <f>IF(OR(TH!J90=TH!$W$7,K90=TH!$W$7),"x","")</f>
        <v/>
      </c>
      <c r="X90" s="90" t="str">
        <f t="shared" si="5"/>
        <v>3</v>
      </c>
    </row>
    <row r="91" spans="1:24" s="77" customFormat="1" ht="15.75" customHeight="1">
      <c r="A91" s="158" t="str">
        <f>IF(B91&lt;&gt;"",IF(AND(B91&gt;=_TM1,B91&lt;=_TM2,OR(TH!J91="1111",TH!K91="1111")),TH!D91,""),"")</f>
        <v/>
      </c>
      <c r="B91" s="63">
        <f t="shared" si="4"/>
        <v>7</v>
      </c>
      <c r="C91" s="64">
        <v>41834</v>
      </c>
      <c r="D91" s="64" t="s">
        <v>8</v>
      </c>
      <c r="E91" s="64">
        <v>41834</v>
      </c>
      <c r="F91" s="67" t="s">
        <v>311</v>
      </c>
      <c r="G91" s="439"/>
      <c r="H91" s="79" t="s">
        <v>57</v>
      </c>
      <c r="I91" s="65">
        <v>378779940</v>
      </c>
      <c r="J91" s="66" t="s">
        <v>9</v>
      </c>
      <c r="K91" s="66" t="s">
        <v>34</v>
      </c>
      <c r="L91" s="90" t="str">
        <f>IF(AND('331-CT'!$E$7=TH!H91,OR(J91="331",K91="331")),"x","")</f>
        <v/>
      </c>
      <c r="M91" s="90" t="str">
        <f>IF(AND($B91&gt;='1111'!$N$10,$B91&lt;='1111'!$O$10,OR($J91=$M$7,$K91=$M$7)),"x","")</f>
        <v/>
      </c>
      <c r="N91" s="90" t="str">
        <f>IF(AND($J91=$M$7,$B91&lt;'1111'!$N$10),"x","")</f>
        <v/>
      </c>
      <c r="O91" s="90" t="str">
        <f>IF(AND($K91=$M$7,$B91&lt;'1111'!$N$10),"x","")</f>
        <v/>
      </c>
      <c r="P91" s="90" t="str">
        <f>IF(AND($B91&gt;='1121'!$N$9,$B91&lt;='1121'!$O$9,OR($J91=$P$7,$K91=$P$7)),"x","")</f>
        <v/>
      </c>
      <c r="Q91" s="90" t="str">
        <f>IF(AND($J91=$P$7,$B91&lt;'1121'!$N$9),"x","")</f>
        <v/>
      </c>
      <c r="R91" s="90" t="str">
        <f>IF(AND($K91=$P$7,$B91&lt;'1121'!$N$9),"x","")</f>
        <v>x</v>
      </c>
      <c r="S91" s="90" t="str">
        <f>IF(AND($B91&gt;='1331'!$I$9,$B91&lt;='1331'!$J$9,OR($J91=$S$7,$K91=$S$7)),"x","")</f>
        <v/>
      </c>
      <c r="T91" s="90" t="str">
        <f>IF(AND($J91=$S$7,$B91&lt;'1331'!$I$9),"x","")</f>
        <v/>
      </c>
      <c r="U91" s="90" t="str">
        <f>IF(AND($K91=$S$7,$B91&lt;'1331'!$I$9),"x","")</f>
        <v/>
      </c>
      <c r="V91" s="90" t="str">
        <f>IF(AND('3411-CT'!$E$9=TH!H91,OR(TH!J91=TH!$V$7,K91=TH!$V$7)),"x","")</f>
        <v/>
      </c>
      <c r="W91" s="90" t="str">
        <f>IF(OR(TH!J91=TH!$W$7,K91=TH!$W$7),"x","")</f>
        <v/>
      </c>
      <c r="X91" s="90" t="str">
        <f t="shared" si="5"/>
        <v>3</v>
      </c>
    </row>
    <row r="92" spans="1:24" s="77" customFormat="1" ht="15.75" customHeight="1">
      <c r="A92" s="158" t="str">
        <f>IF(B92&lt;&gt;"",IF(AND(B92&gt;=_TM1,B92&lt;=_TM2,OR(TH!J92="1111",TH!K92="1111")),TH!D92,""),"")</f>
        <v/>
      </c>
      <c r="B92" s="63">
        <f t="shared" si="4"/>
        <v>7</v>
      </c>
      <c r="C92" s="64">
        <v>41843</v>
      </c>
      <c r="D92" s="64" t="s">
        <v>45</v>
      </c>
      <c r="E92" s="64">
        <v>41843</v>
      </c>
      <c r="F92" s="67" t="s">
        <v>191</v>
      </c>
      <c r="G92" s="439"/>
      <c r="H92" s="79" t="s">
        <v>165</v>
      </c>
      <c r="I92" s="65">
        <v>20000000</v>
      </c>
      <c r="J92" s="69" t="s">
        <v>34</v>
      </c>
      <c r="K92" s="66" t="s">
        <v>101</v>
      </c>
      <c r="L92" s="90" t="str">
        <f>IF(AND('331-CT'!$E$7=TH!H92,OR(J92="331",K92="331")),"x","")</f>
        <v/>
      </c>
      <c r="M92" s="90" t="str">
        <f>IF(AND($B92&gt;='1111'!$N$10,$B92&lt;='1111'!$O$10,OR($J92=$M$7,$K92=$M$7)),"x","")</f>
        <v>x</v>
      </c>
      <c r="N92" s="90" t="str">
        <f>IF(AND($J92=$M$7,$B92&lt;'1111'!$N$10),"x","")</f>
        <v/>
      </c>
      <c r="O92" s="90" t="str">
        <f>IF(AND($K92=$M$7,$B92&lt;'1111'!$N$10),"x","")</f>
        <v/>
      </c>
      <c r="P92" s="90" t="str">
        <f>IF(AND($B92&gt;='1121'!$N$9,$B92&lt;='1121'!$O$9,OR($J92=$P$7,$K92=$P$7)),"x","")</f>
        <v/>
      </c>
      <c r="Q92" s="90" t="str">
        <f>IF(AND($J92=$P$7,$B92&lt;'1121'!$N$9),"x","")</f>
        <v>x</v>
      </c>
      <c r="R92" s="90" t="str">
        <f>IF(AND($K92=$P$7,$B92&lt;'1121'!$N$9),"x","")</f>
        <v/>
      </c>
      <c r="S92" s="90" t="str">
        <f>IF(AND($B92&gt;='1331'!$I$9,$B92&lt;='1331'!$J$9,OR($J92=$S$7,$K92=$S$7)),"x","")</f>
        <v/>
      </c>
      <c r="T92" s="90" t="str">
        <f>IF(AND($J92=$S$7,$B92&lt;'1331'!$I$9),"x","")</f>
        <v/>
      </c>
      <c r="U92" s="90" t="str">
        <f>IF(AND($K92=$S$7,$B92&lt;'1331'!$I$9),"x","")</f>
        <v/>
      </c>
      <c r="V92" s="90" t="str">
        <f>IF(AND('3411-CT'!$E$9=TH!H92,OR(TH!J92=TH!$V$7,K92=TH!$V$7)),"x","")</f>
        <v/>
      </c>
      <c r="W92" s="90" t="str">
        <f>IF(OR(TH!J92=TH!$W$7,K92=TH!$W$7),"x","")</f>
        <v/>
      </c>
      <c r="X92" s="90" t="str">
        <f t="shared" si="5"/>
        <v>3</v>
      </c>
    </row>
    <row r="93" spans="1:24" s="77" customFormat="1" ht="15.75" customHeight="1">
      <c r="A93" s="158" t="str">
        <f>IF(B93&lt;&gt;"",IF(AND(B93&gt;=_TM1,B93&lt;=_TM2,OR(TH!J93="1111",TH!K93="1111")),TH!D93,""),"")</f>
        <v/>
      </c>
      <c r="B93" s="63">
        <f t="shared" si="4"/>
        <v>7</v>
      </c>
      <c r="C93" s="75">
        <v>41843</v>
      </c>
      <c r="D93" s="64" t="s">
        <v>8</v>
      </c>
      <c r="E93" s="64">
        <v>41843</v>
      </c>
      <c r="F93" s="67" t="s">
        <v>312</v>
      </c>
      <c r="G93" s="439"/>
      <c r="H93" s="79" t="s">
        <v>59</v>
      </c>
      <c r="I93" s="65">
        <v>20000000</v>
      </c>
      <c r="J93" s="66" t="s">
        <v>9</v>
      </c>
      <c r="K93" s="66" t="s">
        <v>34</v>
      </c>
      <c r="L93" s="90" t="str">
        <f>IF(AND('331-CT'!$E$7=TH!H93,OR(J93="331",K93="331")),"x","")</f>
        <v/>
      </c>
      <c r="M93" s="90" t="str">
        <f>IF(AND($B93&gt;='1111'!$N$10,$B93&lt;='1111'!$O$10,OR($J93=$M$7,$K93=$M$7)),"x","")</f>
        <v/>
      </c>
      <c r="N93" s="90" t="str">
        <f>IF(AND($J93=$M$7,$B93&lt;'1111'!$N$10),"x","")</f>
        <v/>
      </c>
      <c r="O93" s="90" t="str">
        <f>IF(AND($K93=$M$7,$B93&lt;'1111'!$N$10),"x","")</f>
        <v/>
      </c>
      <c r="P93" s="90" t="str">
        <f>IF(AND($B93&gt;='1121'!$N$9,$B93&lt;='1121'!$O$9,OR($J93=$P$7,$K93=$P$7)),"x","")</f>
        <v/>
      </c>
      <c r="Q93" s="90" t="str">
        <f>IF(AND($J93=$P$7,$B93&lt;'1121'!$N$9),"x","")</f>
        <v/>
      </c>
      <c r="R93" s="90" t="str">
        <f>IF(AND($K93=$P$7,$B93&lt;'1121'!$N$9),"x","")</f>
        <v>x</v>
      </c>
      <c r="S93" s="90" t="str">
        <f>IF(AND($B93&gt;='1331'!$I$9,$B93&lt;='1331'!$J$9,OR($J93=$S$7,$K93=$S$7)),"x","")</f>
        <v/>
      </c>
      <c r="T93" s="90" t="str">
        <f>IF(AND($J93=$S$7,$B93&lt;'1331'!$I$9),"x","")</f>
        <v/>
      </c>
      <c r="U93" s="90" t="str">
        <f>IF(AND($K93=$S$7,$B93&lt;'1331'!$I$9),"x","")</f>
        <v/>
      </c>
      <c r="V93" s="90" t="str">
        <f>IF(AND('3411-CT'!$E$9=TH!H93,OR(TH!J93=TH!$V$7,K93=TH!$V$7)),"x","")</f>
        <v/>
      </c>
      <c r="W93" s="90" t="str">
        <f>IF(OR(TH!J93=TH!$W$7,K93=TH!$W$7),"x","")</f>
        <v/>
      </c>
      <c r="X93" s="90" t="str">
        <f t="shared" si="5"/>
        <v>3</v>
      </c>
    </row>
    <row r="94" spans="1:24" s="77" customFormat="1" ht="15.75" customHeight="1">
      <c r="A94" s="158" t="str">
        <f>IF(B94&lt;&gt;"",IF(AND(B94&gt;=_TM1,B94&lt;=_TM2,OR(TH!J94="1111",TH!K94="1111")),TH!D94,""),"")</f>
        <v/>
      </c>
      <c r="B94" s="85">
        <f t="shared" si="4"/>
        <v>7</v>
      </c>
      <c r="C94" s="64">
        <v>41843</v>
      </c>
      <c r="D94" s="64" t="s">
        <v>8</v>
      </c>
      <c r="E94" s="64">
        <v>41843</v>
      </c>
      <c r="F94" s="67" t="s">
        <v>21</v>
      </c>
      <c r="G94" s="449"/>
      <c r="H94" s="79"/>
      <c r="I94" s="65">
        <v>45000</v>
      </c>
      <c r="J94" s="66" t="s">
        <v>140</v>
      </c>
      <c r="K94" s="66" t="s">
        <v>34</v>
      </c>
      <c r="L94" s="90" t="str">
        <f>IF(AND('331-CT'!$E$7=TH!H94,OR(J94="331",K94="331")),"x","")</f>
        <v/>
      </c>
      <c r="M94" s="90" t="str">
        <f>IF(AND($B94&gt;='1111'!$N$10,$B94&lt;='1111'!$O$10,OR($J94=$M$7,$K94=$M$7)),"x","")</f>
        <v/>
      </c>
      <c r="N94" s="90" t="str">
        <f>IF(AND($J94=$M$7,$B94&lt;'1111'!$N$10),"x","")</f>
        <v/>
      </c>
      <c r="O94" s="90" t="str">
        <f>IF(AND($K94=$M$7,$B94&lt;'1111'!$N$10),"x","")</f>
        <v/>
      </c>
      <c r="P94" s="90" t="str">
        <f>IF(AND($B94&gt;='1121'!$N$9,$B94&lt;='1121'!$O$9,OR($J94=$P$7,$K94=$P$7)),"x","")</f>
        <v/>
      </c>
      <c r="Q94" s="90" t="str">
        <f>IF(AND($J94=$P$7,$B94&lt;'1121'!$N$9),"x","")</f>
        <v/>
      </c>
      <c r="R94" s="90" t="str">
        <f>IF(AND($K94=$P$7,$B94&lt;'1121'!$N$9),"x","")</f>
        <v>x</v>
      </c>
      <c r="S94" s="90" t="str">
        <f>IF(AND($B94&gt;='1331'!$I$9,$B94&lt;='1331'!$J$9,OR($J94=$S$7,$K94=$S$7)),"x","")</f>
        <v/>
      </c>
      <c r="T94" s="90" t="str">
        <f>IF(AND($J94=$S$7,$B94&lt;'1331'!$I$9),"x","")</f>
        <v/>
      </c>
      <c r="U94" s="90" t="str">
        <f>IF(AND($K94=$S$7,$B94&lt;'1331'!$I$9),"x","")</f>
        <v/>
      </c>
      <c r="V94" s="90" t="str">
        <f>IF(AND('3411-CT'!$E$9=TH!H94,OR(TH!J94=TH!$V$7,K94=TH!$V$7)),"x","")</f>
        <v/>
      </c>
      <c r="W94" s="90" t="str">
        <f>IF(OR(TH!J94=TH!$W$7,K94=TH!$W$7),"x","")</f>
        <v/>
      </c>
      <c r="X94" s="90" t="str">
        <f t="shared" si="5"/>
        <v>3</v>
      </c>
    </row>
    <row r="95" spans="1:24" s="77" customFormat="1" ht="15.75" customHeight="1">
      <c r="A95" s="158" t="str">
        <f>IF(B95&lt;&gt;"",IF(AND(B95&gt;=_TM1,B95&lt;=_TM2,OR(TH!J95="1111",TH!K95="1111")),TH!D95,""),"")</f>
        <v/>
      </c>
      <c r="B95" s="85">
        <f t="shared" si="4"/>
        <v>7</v>
      </c>
      <c r="C95" s="64">
        <v>41843</v>
      </c>
      <c r="D95" s="64" t="s">
        <v>8</v>
      </c>
      <c r="E95" s="64">
        <v>41843</v>
      </c>
      <c r="F95" s="67" t="s">
        <v>22</v>
      </c>
      <c r="G95" s="449"/>
      <c r="H95" s="79"/>
      <c r="I95" s="65">
        <v>4500</v>
      </c>
      <c r="J95" s="66" t="s">
        <v>10</v>
      </c>
      <c r="K95" s="66" t="s">
        <v>34</v>
      </c>
      <c r="L95" s="90" t="str">
        <f>IF(AND('331-CT'!$E$7=TH!H95,OR(J95="331",K95="331")),"x","")</f>
        <v/>
      </c>
      <c r="M95" s="90" t="str">
        <f>IF(AND($B95&gt;='1111'!$N$10,$B95&lt;='1111'!$O$10,OR($J95=$M$7,$K95=$M$7)),"x","")</f>
        <v/>
      </c>
      <c r="N95" s="90" t="str">
        <f>IF(AND($J95=$M$7,$B95&lt;'1111'!$N$10),"x","")</f>
        <v/>
      </c>
      <c r="O95" s="90" t="str">
        <f>IF(AND($K95=$M$7,$B95&lt;'1111'!$N$10),"x","")</f>
        <v/>
      </c>
      <c r="P95" s="90" t="str">
        <f>IF(AND($B95&gt;='1121'!$N$9,$B95&lt;='1121'!$O$9,OR($J95=$P$7,$K95=$P$7)),"x","")</f>
        <v/>
      </c>
      <c r="Q95" s="90" t="str">
        <f>IF(AND($J95=$P$7,$B95&lt;'1121'!$N$9),"x","")</f>
        <v/>
      </c>
      <c r="R95" s="90" t="str">
        <f>IF(AND($K95=$P$7,$B95&lt;'1121'!$N$9),"x","")</f>
        <v>x</v>
      </c>
      <c r="S95" s="90" t="str">
        <f>IF(AND($B95&gt;='1331'!$I$9,$B95&lt;='1331'!$J$9,OR($J95=$S$7,$K95=$S$7)),"x","")</f>
        <v>x</v>
      </c>
      <c r="T95" s="90" t="str">
        <f>IF(AND($J95=$S$7,$B95&lt;'1331'!$I$9),"x","")</f>
        <v/>
      </c>
      <c r="U95" s="90" t="str">
        <f>IF(AND($K95=$S$7,$B95&lt;'1331'!$I$9),"x","")</f>
        <v/>
      </c>
      <c r="V95" s="90" t="str">
        <f>IF(AND('3411-CT'!$E$9=TH!H95,OR(TH!J95=TH!$V$7,K95=TH!$V$7)),"x","")</f>
        <v/>
      </c>
      <c r="W95" s="90" t="str">
        <f>IF(OR(TH!J95=TH!$W$7,K95=TH!$W$7),"x","")</f>
        <v/>
      </c>
      <c r="X95" s="90" t="str">
        <f t="shared" si="5"/>
        <v>3</v>
      </c>
    </row>
    <row r="96" spans="1:24" s="77" customFormat="1" ht="15.75" customHeight="1">
      <c r="A96" s="158" t="str">
        <f>IF(B96&lt;&gt;"",IF(AND(B96&gt;=_TM1,B96&lt;=_TM2,OR(TH!J96="1111",TH!K96="1111")),TH!D96,""),"")</f>
        <v/>
      </c>
      <c r="B96" s="63">
        <f t="shared" si="4"/>
        <v>7</v>
      </c>
      <c r="C96" s="75">
        <v>41851</v>
      </c>
      <c r="D96" s="64" t="s">
        <v>60</v>
      </c>
      <c r="E96" s="64">
        <v>41851</v>
      </c>
      <c r="F96" s="67" t="s">
        <v>192</v>
      </c>
      <c r="G96" s="439"/>
      <c r="H96" s="79" t="s">
        <v>164</v>
      </c>
      <c r="I96" s="65">
        <v>50000000</v>
      </c>
      <c r="J96" s="66" t="s">
        <v>23</v>
      </c>
      <c r="K96" s="66" t="s">
        <v>101</v>
      </c>
      <c r="L96" s="90" t="str">
        <f>IF(AND('331-CT'!$E$7=TH!H96,OR(J96="331",K96="331")),"x","")</f>
        <v/>
      </c>
      <c r="M96" s="90" t="str">
        <f>IF(AND($B96&gt;='1111'!$N$10,$B96&lt;='1111'!$O$10,OR($J96=$M$7,$K96=$M$7)),"x","")</f>
        <v>x</v>
      </c>
      <c r="N96" s="90" t="str">
        <f>IF(AND($J96=$M$7,$B96&lt;'1111'!$N$10),"x","")</f>
        <v/>
      </c>
      <c r="O96" s="90" t="str">
        <f>IF(AND($K96=$M$7,$B96&lt;'1111'!$N$10),"x","")</f>
        <v/>
      </c>
      <c r="P96" s="90" t="str">
        <f>IF(AND($B96&gt;='1121'!$N$9,$B96&lt;='1121'!$O$9,OR($J96=$P$7,$K96=$P$7)),"x","")</f>
        <v/>
      </c>
      <c r="Q96" s="90" t="str">
        <f>IF(AND($J96=$P$7,$B96&lt;'1121'!$N$9),"x","")</f>
        <v/>
      </c>
      <c r="R96" s="90" t="str">
        <f>IF(AND($K96=$P$7,$B96&lt;'1121'!$N$9),"x","")</f>
        <v/>
      </c>
      <c r="S96" s="90" t="str">
        <f>IF(AND($B96&gt;='1331'!$I$9,$B96&lt;='1331'!$J$9,OR($J96=$S$7,$K96=$S$7)),"x","")</f>
        <v/>
      </c>
      <c r="T96" s="90" t="str">
        <f>IF(AND($J96=$S$7,$B96&lt;'1331'!$I$9),"x","")</f>
        <v/>
      </c>
      <c r="U96" s="90" t="str">
        <f>IF(AND($K96=$S$7,$B96&lt;'1331'!$I$9),"x","")</f>
        <v/>
      </c>
      <c r="V96" s="90" t="str">
        <f>IF(AND('3411-CT'!$E$9=TH!H96,OR(TH!J96=TH!$V$7,K96=TH!$V$7)),"x","")</f>
        <v/>
      </c>
      <c r="W96" s="90" t="str">
        <f>IF(OR(TH!J96=TH!$W$7,K96=TH!$W$7),"x","")</f>
        <v/>
      </c>
      <c r="X96" s="90" t="str">
        <f t="shared" si="5"/>
        <v>3</v>
      </c>
    </row>
    <row r="97" spans="1:24" s="77" customFormat="1" ht="15.75" customHeight="1">
      <c r="A97" s="158" t="str">
        <f>IF(B97&lt;&gt;"",IF(AND(B97&gt;=_TM1,B97&lt;=_TM2,OR(TH!J97="1111",TH!K97="1111")),TH!D97,""),"")</f>
        <v/>
      </c>
      <c r="B97" s="63">
        <f t="shared" si="4"/>
        <v>7</v>
      </c>
      <c r="C97" s="64">
        <v>41851</v>
      </c>
      <c r="D97" s="64" t="s">
        <v>11</v>
      </c>
      <c r="E97" s="64">
        <v>41851</v>
      </c>
      <c r="F97" s="67" t="s">
        <v>27</v>
      </c>
      <c r="G97" s="439"/>
      <c r="H97" s="79" t="s">
        <v>164</v>
      </c>
      <c r="I97" s="65">
        <v>50000000</v>
      </c>
      <c r="J97" s="66" t="s">
        <v>34</v>
      </c>
      <c r="K97" s="66" t="s">
        <v>23</v>
      </c>
      <c r="L97" s="90" t="str">
        <f>IF(AND('331-CT'!$E$7=TH!H97,OR(J97="331",K97="331")),"x","")</f>
        <v/>
      </c>
      <c r="M97" s="90" t="str">
        <f>IF(AND($B97&gt;='1111'!$N$10,$B97&lt;='1111'!$O$10,OR($J97=$M$7,$K97=$M$7)),"x","")</f>
        <v/>
      </c>
      <c r="N97" s="90" t="str">
        <f>IF(AND($J97=$M$7,$B97&lt;'1111'!$N$10),"x","")</f>
        <v/>
      </c>
      <c r="O97" s="90" t="str">
        <f>IF(AND($K97=$M$7,$B97&lt;'1111'!$N$10),"x","")</f>
        <v/>
      </c>
      <c r="P97" s="90" t="str">
        <f>IF(AND($B97&gt;='1121'!$N$9,$B97&lt;='1121'!$O$9,OR($J97=$P$7,$K97=$P$7)),"x","")</f>
        <v/>
      </c>
      <c r="Q97" s="90" t="str">
        <f>IF(AND($J97=$P$7,$B97&lt;'1121'!$N$9),"x","")</f>
        <v>x</v>
      </c>
      <c r="R97" s="90" t="str">
        <f>IF(AND($K97=$P$7,$B97&lt;'1121'!$N$9),"x","")</f>
        <v/>
      </c>
      <c r="S97" s="90" t="str">
        <f>IF(AND($B97&gt;='1331'!$I$9,$B97&lt;='1331'!$J$9,OR($J97=$S$7,$K97=$S$7)),"x","")</f>
        <v/>
      </c>
      <c r="T97" s="90" t="str">
        <f>IF(AND($J97=$S$7,$B97&lt;'1331'!$I$9),"x","")</f>
        <v/>
      </c>
      <c r="U97" s="90" t="str">
        <f>IF(AND($K97=$S$7,$B97&lt;'1331'!$I$9),"x","")</f>
        <v/>
      </c>
      <c r="V97" s="90" t="str">
        <f>IF(AND('3411-CT'!$E$9=TH!H97,OR(TH!J97=TH!$V$7,K97=TH!$V$7)),"x","")</f>
        <v/>
      </c>
      <c r="W97" s="90" t="str">
        <f>IF(OR(TH!J97=TH!$W$7,K97=TH!$W$7),"x","")</f>
        <v/>
      </c>
      <c r="X97" s="90" t="str">
        <f t="shared" si="5"/>
        <v>3</v>
      </c>
    </row>
    <row r="98" spans="1:24" s="77" customFormat="1" ht="15.75" customHeight="1">
      <c r="A98" s="158" t="str">
        <f>IF(B98&lt;&gt;"",IF(AND(B98&gt;=_TM1,B98&lt;=_TM2,OR(TH!J98="1111",TH!K98="1111")),TH!D98,""),"")</f>
        <v/>
      </c>
      <c r="B98" s="63">
        <f t="shared" si="4"/>
        <v>7</v>
      </c>
      <c r="C98" s="75">
        <v>41851</v>
      </c>
      <c r="D98" s="64" t="s">
        <v>8</v>
      </c>
      <c r="E98" s="64">
        <v>41851</v>
      </c>
      <c r="F98" s="67" t="s">
        <v>312</v>
      </c>
      <c r="G98" s="439"/>
      <c r="H98" s="79" t="s">
        <v>59</v>
      </c>
      <c r="I98" s="65">
        <v>50000000</v>
      </c>
      <c r="J98" s="66" t="s">
        <v>9</v>
      </c>
      <c r="K98" s="66" t="s">
        <v>34</v>
      </c>
      <c r="L98" s="90" t="str">
        <f>IF(AND('331-CT'!$E$7=TH!H98,OR(J98="331",K98="331")),"x","")</f>
        <v/>
      </c>
      <c r="M98" s="90" t="str">
        <f>IF(AND($B98&gt;='1111'!$N$10,$B98&lt;='1111'!$O$10,OR($J98=$M$7,$K98=$M$7)),"x","")</f>
        <v/>
      </c>
      <c r="N98" s="90" t="str">
        <f>IF(AND($J98=$M$7,$B98&lt;'1111'!$N$10),"x","")</f>
        <v/>
      </c>
      <c r="O98" s="90" t="str">
        <f>IF(AND($K98=$M$7,$B98&lt;'1111'!$N$10),"x","")</f>
        <v/>
      </c>
      <c r="P98" s="90" t="str">
        <f>IF(AND($B98&gt;='1121'!$N$9,$B98&lt;='1121'!$O$9,OR($J98=$P$7,$K98=$P$7)),"x","")</f>
        <v/>
      </c>
      <c r="Q98" s="90" t="str">
        <f>IF(AND($J98=$P$7,$B98&lt;'1121'!$N$9),"x","")</f>
        <v/>
      </c>
      <c r="R98" s="90" t="str">
        <f>IF(AND($K98=$P$7,$B98&lt;'1121'!$N$9),"x","")</f>
        <v>x</v>
      </c>
      <c r="S98" s="90" t="str">
        <f>IF(AND($B98&gt;='1331'!$I$9,$B98&lt;='1331'!$J$9,OR($J98=$S$7,$K98=$S$7)),"x","")</f>
        <v/>
      </c>
      <c r="T98" s="90" t="str">
        <f>IF(AND($J98=$S$7,$B98&lt;'1331'!$I$9),"x","")</f>
        <v/>
      </c>
      <c r="U98" s="90" t="str">
        <f>IF(AND($K98=$S$7,$B98&lt;'1331'!$I$9),"x","")</f>
        <v/>
      </c>
      <c r="V98" s="90" t="str">
        <f>IF(AND('3411-CT'!$E$9=TH!H98,OR(TH!J98=TH!$V$7,K98=TH!$V$7)),"x","")</f>
        <v/>
      </c>
      <c r="W98" s="90" t="str">
        <f>IF(OR(TH!J98=TH!$W$7,K98=TH!$W$7),"x","")</f>
        <v/>
      </c>
      <c r="X98" s="90" t="str">
        <f t="shared" si="5"/>
        <v>3</v>
      </c>
    </row>
    <row r="99" spans="1:24" s="77" customFormat="1" ht="15.75" customHeight="1">
      <c r="A99" s="158" t="str">
        <f>IF(B99&lt;&gt;"",IF(AND(B99&gt;=_TM1,B99&lt;=_TM2,OR(TH!J99="1111",TH!K99="1111")),TH!D99,""),"")</f>
        <v/>
      </c>
      <c r="B99" s="63">
        <f t="shared" si="4"/>
        <v>7</v>
      </c>
      <c r="C99" s="64">
        <v>41851</v>
      </c>
      <c r="D99" s="64" t="s">
        <v>8</v>
      </c>
      <c r="E99" s="64">
        <v>41851</v>
      </c>
      <c r="F99" s="67" t="s">
        <v>21</v>
      </c>
      <c r="G99" s="439"/>
      <c r="H99" s="79"/>
      <c r="I99" s="65">
        <v>25000</v>
      </c>
      <c r="J99" s="66" t="s">
        <v>140</v>
      </c>
      <c r="K99" s="66" t="s">
        <v>34</v>
      </c>
      <c r="L99" s="90" t="str">
        <f>IF(AND('331-CT'!$E$7=TH!H99,OR(J99="331",K99="331")),"x","")</f>
        <v/>
      </c>
      <c r="M99" s="90" t="str">
        <f>IF(AND($B99&gt;='1111'!$N$10,$B99&lt;='1111'!$O$10,OR($J99=$M$7,$K99=$M$7)),"x","")</f>
        <v/>
      </c>
      <c r="N99" s="90" t="str">
        <f>IF(AND($J99=$M$7,$B99&lt;'1111'!$N$10),"x","")</f>
        <v/>
      </c>
      <c r="O99" s="90" t="str">
        <f>IF(AND($K99=$M$7,$B99&lt;'1111'!$N$10),"x","")</f>
        <v/>
      </c>
      <c r="P99" s="90" t="str">
        <f>IF(AND($B99&gt;='1121'!$N$9,$B99&lt;='1121'!$O$9,OR($J99=$P$7,$K99=$P$7)),"x","")</f>
        <v/>
      </c>
      <c r="Q99" s="90" t="str">
        <f>IF(AND($J99=$P$7,$B99&lt;'1121'!$N$9),"x","")</f>
        <v/>
      </c>
      <c r="R99" s="90" t="str">
        <f>IF(AND($K99=$P$7,$B99&lt;'1121'!$N$9),"x","")</f>
        <v>x</v>
      </c>
      <c r="S99" s="90" t="str">
        <f>IF(AND($B99&gt;='1331'!$I$9,$B99&lt;='1331'!$J$9,OR($J99=$S$7,$K99=$S$7)),"x","")</f>
        <v/>
      </c>
      <c r="T99" s="90" t="str">
        <f>IF(AND($J99=$S$7,$B99&lt;'1331'!$I$9),"x","")</f>
        <v/>
      </c>
      <c r="U99" s="90" t="str">
        <f>IF(AND($K99=$S$7,$B99&lt;'1331'!$I$9),"x","")</f>
        <v/>
      </c>
      <c r="V99" s="90" t="str">
        <f>IF(AND('3411-CT'!$E$9=TH!H99,OR(TH!J99=TH!$V$7,K99=TH!$V$7)),"x","")</f>
        <v/>
      </c>
      <c r="W99" s="90" t="str">
        <f>IF(OR(TH!J99=TH!$W$7,K99=TH!$W$7),"x","")</f>
        <v/>
      </c>
      <c r="X99" s="90" t="str">
        <f t="shared" si="5"/>
        <v>3</v>
      </c>
    </row>
    <row r="100" spans="1:24" s="77" customFormat="1" ht="15.75" customHeight="1">
      <c r="A100" s="158" t="str">
        <f>IF(B100&lt;&gt;"",IF(AND(B100&gt;=_TM1,B100&lt;=_TM2,OR(TH!J100="1111",TH!K100="1111")),TH!D100,""),"")</f>
        <v/>
      </c>
      <c r="B100" s="63">
        <f t="shared" si="4"/>
        <v>7</v>
      </c>
      <c r="C100" s="64">
        <v>41851</v>
      </c>
      <c r="D100" s="64" t="s">
        <v>8</v>
      </c>
      <c r="E100" s="64">
        <v>41851</v>
      </c>
      <c r="F100" s="67" t="s">
        <v>22</v>
      </c>
      <c r="G100" s="439"/>
      <c r="H100" s="81"/>
      <c r="I100" s="65">
        <v>2500</v>
      </c>
      <c r="J100" s="66" t="s">
        <v>10</v>
      </c>
      <c r="K100" s="66" t="s">
        <v>34</v>
      </c>
      <c r="L100" s="90" t="str">
        <f>IF(AND('331-CT'!$E$7=TH!H100,OR(J100="331",K100="331")),"x","")</f>
        <v/>
      </c>
      <c r="M100" s="90" t="str">
        <f>IF(AND($B100&gt;='1111'!$N$10,$B100&lt;='1111'!$O$10,OR($J100=$M$7,$K100=$M$7)),"x","")</f>
        <v/>
      </c>
      <c r="N100" s="90" t="str">
        <f>IF(AND($J100=$M$7,$B100&lt;'1111'!$N$10),"x","")</f>
        <v/>
      </c>
      <c r="O100" s="90" t="str">
        <f>IF(AND($K100=$M$7,$B100&lt;'1111'!$N$10),"x","")</f>
        <v/>
      </c>
      <c r="P100" s="90" t="str">
        <f>IF(AND($B100&gt;='1121'!$N$9,$B100&lt;='1121'!$O$9,OR($J100=$P$7,$K100=$P$7)),"x","")</f>
        <v/>
      </c>
      <c r="Q100" s="90" t="str">
        <f>IF(AND($J100=$P$7,$B100&lt;'1121'!$N$9),"x","")</f>
        <v/>
      </c>
      <c r="R100" s="90" t="str">
        <f>IF(AND($K100=$P$7,$B100&lt;'1121'!$N$9),"x","")</f>
        <v>x</v>
      </c>
      <c r="S100" s="90" t="str">
        <f>IF(AND($B100&gt;='1331'!$I$9,$B100&lt;='1331'!$J$9,OR($J100=$S$7,$K100=$S$7)),"x","")</f>
        <v>x</v>
      </c>
      <c r="T100" s="90" t="str">
        <f>IF(AND($J100=$S$7,$B100&lt;'1331'!$I$9),"x","")</f>
        <v/>
      </c>
      <c r="U100" s="90" t="str">
        <f>IF(AND($K100=$S$7,$B100&lt;'1331'!$I$9),"x","")</f>
        <v/>
      </c>
      <c r="V100" s="90" t="str">
        <f>IF(AND('3411-CT'!$E$9=TH!H100,OR(TH!J100=TH!$V$7,K100=TH!$V$7)),"x","")</f>
        <v/>
      </c>
      <c r="W100" s="90" t="str">
        <f>IF(OR(TH!J100=TH!$W$7,K100=TH!$W$7),"x","")</f>
        <v/>
      </c>
      <c r="X100" s="90" t="str">
        <f t="shared" si="5"/>
        <v>3</v>
      </c>
    </row>
    <row r="101" spans="1:24" s="77" customFormat="1" ht="15.75" customHeight="1">
      <c r="A101" s="158" t="str">
        <f>IF(B101&lt;&gt;"",IF(AND(B101&gt;=_TM1,B101&lt;=_TM2,OR(TH!J101="1111",TH!K101="1111")),TH!D101,""),"")</f>
        <v/>
      </c>
      <c r="B101" s="63">
        <f t="shared" si="4"/>
        <v>8</v>
      </c>
      <c r="C101" s="64">
        <v>41857</v>
      </c>
      <c r="D101" s="64" t="s">
        <v>61</v>
      </c>
      <c r="E101" s="64">
        <v>41857</v>
      </c>
      <c r="F101" s="67" t="s">
        <v>192</v>
      </c>
      <c r="G101" s="439"/>
      <c r="H101" s="81" t="s">
        <v>164</v>
      </c>
      <c r="I101" s="65">
        <v>50000000</v>
      </c>
      <c r="J101" s="66" t="s">
        <v>23</v>
      </c>
      <c r="K101" s="66" t="s">
        <v>101</v>
      </c>
      <c r="L101" s="90" t="str">
        <f>IF(AND('331-CT'!$E$7=TH!H101,OR(J101="331",K101="331")),"x","")</f>
        <v/>
      </c>
      <c r="M101" s="90" t="str">
        <f>IF(AND($B101&gt;='1111'!$N$10,$B101&lt;='1111'!$O$10,OR($J101=$M$7,$K101=$M$7)),"x","")</f>
        <v>x</v>
      </c>
      <c r="N101" s="90" t="str">
        <f>IF(AND($J101=$M$7,$B101&lt;'1111'!$N$10),"x","")</f>
        <v/>
      </c>
      <c r="O101" s="90" t="str">
        <f>IF(AND($K101=$M$7,$B101&lt;'1111'!$N$10),"x","")</f>
        <v/>
      </c>
      <c r="P101" s="90" t="str">
        <f>IF(AND($B101&gt;='1121'!$N$9,$B101&lt;='1121'!$O$9,OR($J101=$P$7,$K101=$P$7)),"x","")</f>
        <v/>
      </c>
      <c r="Q101" s="90" t="str">
        <f>IF(AND($J101=$P$7,$B101&lt;'1121'!$N$9),"x","")</f>
        <v/>
      </c>
      <c r="R101" s="90" t="str">
        <f>IF(AND($K101=$P$7,$B101&lt;'1121'!$N$9),"x","")</f>
        <v/>
      </c>
      <c r="S101" s="90" t="str">
        <f>IF(AND($B101&gt;='1331'!$I$9,$B101&lt;='1331'!$J$9,OR($J101=$S$7,$K101=$S$7)),"x","")</f>
        <v/>
      </c>
      <c r="T101" s="90" t="str">
        <f>IF(AND($J101=$S$7,$B101&lt;'1331'!$I$9),"x","")</f>
        <v/>
      </c>
      <c r="U101" s="90" t="str">
        <f>IF(AND($K101=$S$7,$B101&lt;'1331'!$I$9),"x","")</f>
        <v/>
      </c>
      <c r="V101" s="90" t="str">
        <f>IF(AND('3411-CT'!$E$9=TH!H101,OR(TH!J101=TH!$V$7,K101=TH!$V$7)),"x","")</f>
        <v/>
      </c>
      <c r="W101" s="90" t="str">
        <f>IF(OR(TH!J101=TH!$W$7,K101=TH!$W$7),"x","")</f>
        <v/>
      </c>
      <c r="X101" s="90" t="str">
        <f t="shared" si="5"/>
        <v>3</v>
      </c>
    </row>
    <row r="102" spans="1:24" s="77" customFormat="1" ht="15.75" customHeight="1">
      <c r="A102" s="158" t="str">
        <f>IF(B102&lt;&gt;"",IF(AND(B102&gt;=_TM1,B102&lt;=_TM2,OR(TH!J102="1111",TH!K102="1111")),TH!D102,""),"")</f>
        <v/>
      </c>
      <c r="B102" s="63">
        <f t="shared" si="4"/>
        <v>8</v>
      </c>
      <c r="C102" s="75">
        <v>41857</v>
      </c>
      <c r="D102" s="64" t="s">
        <v>11</v>
      </c>
      <c r="E102" s="64">
        <v>41857</v>
      </c>
      <c r="F102" s="67" t="s">
        <v>27</v>
      </c>
      <c r="G102" s="439"/>
      <c r="H102" s="79" t="s">
        <v>164</v>
      </c>
      <c r="I102" s="65">
        <v>50000000</v>
      </c>
      <c r="J102" s="66" t="s">
        <v>34</v>
      </c>
      <c r="K102" s="66" t="s">
        <v>23</v>
      </c>
      <c r="L102" s="90" t="str">
        <f>IF(AND('331-CT'!$E$7=TH!H102,OR(J102="331",K102="331")),"x","")</f>
        <v/>
      </c>
      <c r="M102" s="90" t="str">
        <f>IF(AND($B102&gt;='1111'!$N$10,$B102&lt;='1111'!$O$10,OR($J102=$M$7,$K102=$M$7)),"x","")</f>
        <v/>
      </c>
      <c r="N102" s="90" t="str">
        <f>IF(AND($J102=$M$7,$B102&lt;'1111'!$N$10),"x","")</f>
        <v/>
      </c>
      <c r="O102" s="90" t="str">
        <f>IF(AND($K102=$M$7,$B102&lt;'1111'!$N$10),"x","")</f>
        <v/>
      </c>
      <c r="P102" s="90" t="str">
        <f>IF(AND($B102&gt;='1121'!$N$9,$B102&lt;='1121'!$O$9,OR($J102=$P$7,$K102=$P$7)),"x","")</f>
        <v/>
      </c>
      <c r="Q102" s="90" t="str">
        <f>IF(AND($J102=$P$7,$B102&lt;'1121'!$N$9),"x","")</f>
        <v>x</v>
      </c>
      <c r="R102" s="90" t="str">
        <f>IF(AND($K102=$P$7,$B102&lt;'1121'!$N$9),"x","")</f>
        <v/>
      </c>
      <c r="S102" s="90" t="str">
        <f>IF(AND($B102&gt;='1331'!$I$9,$B102&lt;='1331'!$J$9,OR($J102=$S$7,$K102=$S$7)),"x","")</f>
        <v/>
      </c>
      <c r="T102" s="90" t="str">
        <f>IF(AND($J102=$S$7,$B102&lt;'1331'!$I$9),"x","")</f>
        <v/>
      </c>
      <c r="U102" s="90" t="str">
        <f>IF(AND($K102=$S$7,$B102&lt;'1331'!$I$9),"x","")</f>
        <v/>
      </c>
      <c r="V102" s="90" t="str">
        <f>IF(AND('3411-CT'!$E$9=TH!H102,OR(TH!J102=TH!$V$7,K102=TH!$V$7)),"x","")</f>
        <v/>
      </c>
      <c r="W102" s="90" t="str">
        <f>IF(OR(TH!J102=TH!$W$7,K102=TH!$W$7),"x","")</f>
        <v/>
      </c>
      <c r="X102" s="90" t="str">
        <f t="shared" si="5"/>
        <v>3</v>
      </c>
    </row>
    <row r="103" spans="1:24" s="77" customFormat="1" ht="15.75" customHeight="1">
      <c r="A103" s="158" t="str">
        <f>IF(B103&lt;&gt;"",IF(AND(B103&gt;=_TM1,B103&lt;=_TM2,OR(TH!J103="1111",TH!K103="1111")),TH!D103,""),"")</f>
        <v/>
      </c>
      <c r="B103" s="63">
        <f t="shared" si="4"/>
        <v>8</v>
      </c>
      <c r="C103" s="75">
        <v>41857</v>
      </c>
      <c r="D103" s="64" t="s">
        <v>8</v>
      </c>
      <c r="E103" s="64">
        <v>41857</v>
      </c>
      <c r="F103" s="67" t="s">
        <v>312</v>
      </c>
      <c r="G103" s="439"/>
      <c r="H103" s="81" t="s">
        <v>59</v>
      </c>
      <c r="I103" s="65">
        <v>50000000</v>
      </c>
      <c r="J103" s="66" t="s">
        <v>9</v>
      </c>
      <c r="K103" s="66" t="s">
        <v>34</v>
      </c>
      <c r="L103" s="90" t="str">
        <f>IF(AND('331-CT'!$E$7=TH!H103,OR(J103="331",K103="331")),"x","")</f>
        <v/>
      </c>
      <c r="M103" s="90" t="str">
        <f>IF(AND($B103&gt;='1111'!$N$10,$B103&lt;='1111'!$O$10,OR($J103=$M$7,$K103=$M$7)),"x","")</f>
        <v/>
      </c>
      <c r="N103" s="90" t="str">
        <f>IF(AND($J103=$M$7,$B103&lt;'1111'!$N$10),"x","")</f>
        <v/>
      </c>
      <c r="O103" s="90" t="str">
        <f>IF(AND($K103=$M$7,$B103&lt;'1111'!$N$10),"x","")</f>
        <v/>
      </c>
      <c r="P103" s="90" t="str">
        <f>IF(AND($B103&gt;='1121'!$N$9,$B103&lt;='1121'!$O$9,OR($J103=$P$7,$K103=$P$7)),"x","")</f>
        <v/>
      </c>
      <c r="Q103" s="90" t="str">
        <f>IF(AND($J103=$P$7,$B103&lt;'1121'!$N$9),"x","")</f>
        <v/>
      </c>
      <c r="R103" s="90" t="str">
        <f>IF(AND($K103=$P$7,$B103&lt;'1121'!$N$9),"x","")</f>
        <v>x</v>
      </c>
      <c r="S103" s="90" t="str">
        <f>IF(AND($B103&gt;='1331'!$I$9,$B103&lt;='1331'!$J$9,OR($J103=$S$7,$K103=$S$7)),"x","")</f>
        <v/>
      </c>
      <c r="T103" s="90" t="str">
        <f>IF(AND($J103=$S$7,$B103&lt;'1331'!$I$9),"x","")</f>
        <v/>
      </c>
      <c r="U103" s="90" t="str">
        <f>IF(AND($K103=$S$7,$B103&lt;'1331'!$I$9),"x","")</f>
        <v/>
      </c>
      <c r="V103" s="90" t="str">
        <f>IF(AND('3411-CT'!$E$9=TH!H103,OR(TH!J103=TH!$V$7,K103=TH!$V$7)),"x","")</f>
        <v/>
      </c>
      <c r="W103" s="90" t="str">
        <f>IF(OR(TH!J103=TH!$W$7,K103=TH!$W$7),"x","")</f>
        <v/>
      </c>
      <c r="X103" s="90" t="str">
        <f t="shared" si="5"/>
        <v>3</v>
      </c>
    </row>
    <row r="104" spans="1:24" s="77" customFormat="1" ht="15.75" customHeight="1">
      <c r="A104" s="158" t="str">
        <f>IF(B104&lt;&gt;"",IF(AND(B104&gt;=_TM1,B104&lt;=_TM2,OR(TH!J104="1111",TH!K104="1111")),TH!D104,""),"")</f>
        <v/>
      </c>
      <c r="B104" s="63">
        <f t="shared" si="4"/>
        <v>8</v>
      </c>
      <c r="C104" s="64">
        <v>41857</v>
      </c>
      <c r="D104" s="64" t="s">
        <v>8</v>
      </c>
      <c r="E104" s="64">
        <v>41857</v>
      </c>
      <c r="F104" s="67" t="s">
        <v>21</v>
      </c>
      <c r="G104" s="439"/>
      <c r="H104" s="79"/>
      <c r="I104" s="65">
        <v>25000</v>
      </c>
      <c r="J104" s="66" t="s">
        <v>140</v>
      </c>
      <c r="K104" s="66" t="s">
        <v>34</v>
      </c>
      <c r="L104" s="90" t="str">
        <f>IF(AND('331-CT'!$E$7=TH!H104,OR(J104="331",K104="331")),"x","")</f>
        <v/>
      </c>
      <c r="M104" s="90" t="str">
        <f>IF(AND($B104&gt;='1111'!$N$10,$B104&lt;='1111'!$O$10,OR($J104=$M$7,$K104=$M$7)),"x","")</f>
        <v/>
      </c>
      <c r="N104" s="90" t="str">
        <f>IF(AND($J104=$M$7,$B104&lt;'1111'!$N$10),"x","")</f>
        <v/>
      </c>
      <c r="O104" s="90" t="str">
        <f>IF(AND($K104=$M$7,$B104&lt;'1111'!$N$10),"x","")</f>
        <v/>
      </c>
      <c r="P104" s="90" t="str">
        <f>IF(AND($B104&gt;='1121'!$N$9,$B104&lt;='1121'!$O$9,OR($J104=$P$7,$K104=$P$7)),"x","")</f>
        <v/>
      </c>
      <c r="Q104" s="90" t="str">
        <f>IF(AND($J104=$P$7,$B104&lt;'1121'!$N$9),"x","")</f>
        <v/>
      </c>
      <c r="R104" s="90" t="str">
        <f>IF(AND($K104=$P$7,$B104&lt;'1121'!$N$9),"x","")</f>
        <v>x</v>
      </c>
      <c r="S104" s="90" t="str">
        <f>IF(AND($B104&gt;='1331'!$I$9,$B104&lt;='1331'!$J$9,OR($J104=$S$7,$K104=$S$7)),"x","")</f>
        <v/>
      </c>
      <c r="T104" s="90" t="str">
        <f>IF(AND($J104=$S$7,$B104&lt;'1331'!$I$9),"x","")</f>
        <v/>
      </c>
      <c r="U104" s="90" t="str">
        <f>IF(AND($K104=$S$7,$B104&lt;'1331'!$I$9),"x","")</f>
        <v/>
      </c>
      <c r="V104" s="90" t="str">
        <f>IF(AND('3411-CT'!$E$9=TH!H104,OR(TH!J104=TH!$V$7,K104=TH!$V$7)),"x","")</f>
        <v/>
      </c>
      <c r="W104" s="90" t="str">
        <f>IF(OR(TH!J104=TH!$W$7,K104=TH!$W$7),"x","")</f>
        <v/>
      </c>
      <c r="X104" s="90" t="str">
        <f t="shared" si="5"/>
        <v>3</v>
      </c>
    </row>
    <row r="105" spans="1:24" s="77" customFormat="1" ht="15.75" customHeight="1">
      <c r="A105" s="158" t="str">
        <f>IF(B105&lt;&gt;"",IF(AND(B105&gt;=_TM1,B105&lt;=_TM2,OR(TH!J105="1111",TH!K105="1111")),TH!D105,""),"")</f>
        <v/>
      </c>
      <c r="B105" s="63">
        <f t="shared" si="4"/>
        <v>8</v>
      </c>
      <c r="C105" s="64">
        <v>41857</v>
      </c>
      <c r="D105" s="64" t="s">
        <v>8</v>
      </c>
      <c r="E105" s="64">
        <v>41857</v>
      </c>
      <c r="F105" s="67" t="s">
        <v>22</v>
      </c>
      <c r="G105" s="439"/>
      <c r="H105" s="79"/>
      <c r="I105" s="65">
        <v>2500</v>
      </c>
      <c r="J105" s="66" t="s">
        <v>10</v>
      </c>
      <c r="K105" s="66" t="s">
        <v>34</v>
      </c>
      <c r="L105" s="90" t="str">
        <f>IF(AND('331-CT'!$E$7=TH!H105,OR(J105="331",K105="331")),"x","")</f>
        <v/>
      </c>
      <c r="M105" s="90" t="str">
        <f>IF(AND($B105&gt;='1111'!$N$10,$B105&lt;='1111'!$O$10,OR($J105=$M$7,$K105=$M$7)),"x","")</f>
        <v/>
      </c>
      <c r="N105" s="90" t="str">
        <f>IF(AND($J105=$M$7,$B105&lt;'1111'!$N$10),"x","")</f>
        <v/>
      </c>
      <c r="O105" s="90" t="str">
        <f>IF(AND($K105=$M$7,$B105&lt;'1111'!$N$10),"x","")</f>
        <v/>
      </c>
      <c r="P105" s="90" t="str">
        <f>IF(AND($B105&gt;='1121'!$N$9,$B105&lt;='1121'!$O$9,OR($J105=$P$7,$K105=$P$7)),"x","")</f>
        <v/>
      </c>
      <c r="Q105" s="90" t="str">
        <f>IF(AND($J105=$P$7,$B105&lt;'1121'!$N$9),"x","")</f>
        <v/>
      </c>
      <c r="R105" s="90" t="str">
        <f>IF(AND($K105=$P$7,$B105&lt;'1121'!$N$9),"x","")</f>
        <v>x</v>
      </c>
      <c r="S105" s="90" t="str">
        <f>IF(AND($B105&gt;='1331'!$I$9,$B105&lt;='1331'!$J$9,OR($J105=$S$7,$K105=$S$7)),"x","")</f>
        <v>x</v>
      </c>
      <c r="T105" s="90" t="str">
        <f>IF(AND($J105=$S$7,$B105&lt;'1331'!$I$9),"x","")</f>
        <v/>
      </c>
      <c r="U105" s="90" t="str">
        <f>IF(AND($K105=$S$7,$B105&lt;'1331'!$I$9),"x","")</f>
        <v/>
      </c>
      <c r="V105" s="90" t="str">
        <f>IF(AND('3411-CT'!$E$9=TH!H105,OR(TH!J105=TH!$V$7,K105=TH!$V$7)),"x","")</f>
        <v/>
      </c>
      <c r="W105" s="90" t="str">
        <f>IF(OR(TH!J105=TH!$W$7,K105=TH!$W$7),"x","")</f>
        <v/>
      </c>
      <c r="X105" s="90" t="str">
        <f t="shared" si="5"/>
        <v>3</v>
      </c>
    </row>
    <row r="106" spans="1:24" s="77" customFormat="1" ht="15.75" customHeight="1">
      <c r="A106" s="158" t="str">
        <f>IF(B106&lt;&gt;"",IF(AND(B106&gt;=_TM1,B106&lt;=_TM2,OR(TH!J106="1111",TH!K106="1111")),TH!D106,""),"")</f>
        <v/>
      </c>
      <c r="B106" s="63">
        <f t="shared" si="4"/>
        <v>8</v>
      </c>
      <c r="C106" s="75">
        <v>41865</v>
      </c>
      <c r="D106" s="64" t="s">
        <v>44</v>
      </c>
      <c r="E106" s="64">
        <v>41865</v>
      </c>
      <c r="F106" s="67" t="s">
        <v>191</v>
      </c>
      <c r="G106" s="439"/>
      <c r="H106" s="81" t="s">
        <v>165</v>
      </c>
      <c r="I106" s="65">
        <v>253000000</v>
      </c>
      <c r="J106" s="66" t="s">
        <v>34</v>
      </c>
      <c r="K106" s="66" t="s">
        <v>101</v>
      </c>
      <c r="L106" s="90" t="str">
        <f>IF(AND('331-CT'!$E$7=TH!H106,OR(J106="331",K106="331")),"x","")</f>
        <v/>
      </c>
      <c r="M106" s="90" t="str">
        <f>IF(AND($B106&gt;='1111'!$N$10,$B106&lt;='1111'!$O$10,OR($J106=$M$7,$K106=$M$7)),"x","")</f>
        <v>x</v>
      </c>
      <c r="N106" s="90" t="str">
        <f>IF(AND($J106=$M$7,$B106&lt;'1111'!$N$10),"x","")</f>
        <v/>
      </c>
      <c r="O106" s="90" t="str">
        <f>IF(AND($K106=$M$7,$B106&lt;'1111'!$N$10),"x","")</f>
        <v/>
      </c>
      <c r="P106" s="90" t="str">
        <f>IF(AND($B106&gt;='1121'!$N$9,$B106&lt;='1121'!$O$9,OR($J106=$P$7,$K106=$P$7)),"x","")</f>
        <v/>
      </c>
      <c r="Q106" s="90" t="str">
        <f>IF(AND($J106=$P$7,$B106&lt;'1121'!$N$9),"x","")</f>
        <v>x</v>
      </c>
      <c r="R106" s="90" t="str">
        <f>IF(AND($K106=$P$7,$B106&lt;'1121'!$N$9),"x","")</f>
        <v/>
      </c>
      <c r="S106" s="90" t="str">
        <f>IF(AND($B106&gt;='1331'!$I$9,$B106&lt;='1331'!$J$9,OR($J106=$S$7,$K106=$S$7)),"x","")</f>
        <v/>
      </c>
      <c r="T106" s="90" t="str">
        <f>IF(AND($J106=$S$7,$B106&lt;'1331'!$I$9),"x","")</f>
        <v/>
      </c>
      <c r="U106" s="90" t="str">
        <f>IF(AND($K106=$S$7,$B106&lt;'1331'!$I$9),"x","")</f>
        <v/>
      </c>
      <c r="V106" s="90" t="str">
        <f>IF(AND('3411-CT'!$E$9=TH!H106,OR(TH!J106=TH!$V$7,K106=TH!$V$7)),"x","")</f>
        <v/>
      </c>
      <c r="W106" s="90" t="str">
        <f>IF(OR(TH!J106=TH!$W$7,K106=TH!$W$7),"x","")</f>
        <v/>
      </c>
      <c r="X106" s="90" t="str">
        <f t="shared" si="5"/>
        <v>3</v>
      </c>
    </row>
    <row r="107" spans="1:24" s="77" customFormat="1" ht="15.75" customHeight="1">
      <c r="A107" s="158" t="str">
        <f>IF(B107&lt;&gt;"",IF(AND(B107&gt;=_TM1,B107&lt;=_TM2,OR(TH!J107="1111",TH!K107="1111")),TH!D107,""),"")</f>
        <v/>
      </c>
      <c r="B107" s="63">
        <f t="shared" si="4"/>
        <v>8</v>
      </c>
      <c r="C107" s="64">
        <v>41865</v>
      </c>
      <c r="D107" s="64" t="s">
        <v>8</v>
      </c>
      <c r="E107" s="64">
        <v>41865</v>
      </c>
      <c r="F107" s="67" t="s">
        <v>311</v>
      </c>
      <c r="G107" s="439"/>
      <c r="H107" s="81" t="s">
        <v>57</v>
      </c>
      <c r="I107" s="65">
        <v>252519960</v>
      </c>
      <c r="J107" s="66" t="s">
        <v>9</v>
      </c>
      <c r="K107" s="66" t="s">
        <v>34</v>
      </c>
      <c r="L107" s="90" t="str">
        <f>IF(AND('331-CT'!$E$7=TH!H107,OR(J107="331",K107="331")),"x","")</f>
        <v/>
      </c>
      <c r="M107" s="90" t="str">
        <f>IF(AND($B107&gt;='1111'!$N$10,$B107&lt;='1111'!$O$10,OR($J107=$M$7,$K107=$M$7)),"x","")</f>
        <v/>
      </c>
      <c r="N107" s="90" t="str">
        <f>IF(AND($J107=$M$7,$B107&lt;'1111'!$N$10),"x","")</f>
        <v/>
      </c>
      <c r="O107" s="90" t="str">
        <f>IF(AND($K107=$M$7,$B107&lt;'1111'!$N$10),"x","")</f>
        <v/>
      </c>
      <c r="P107" s="90" t="str">
        <f>IF(AND($B107&gt;='1121'!$N$9,$B107&lt;='1121'!$O$9,OR($J107=$P$7,$K107=$P$7)),"x","")</f>
        <v/>
      </c>
      <c r="Q107" s="90" t="str">
        <f>IF(AND($J107=$P$7,$B107&lt;'1121'!$N$9),"x","")</f>
        <v/>
      </c>
      <c r="R107" s="90" t="str">
        <f>IF(AND($K107=$P$7,$B107&lt;'1121'!$N$9),"x","")</f>
        <v>x</v>
      </c>
      <c r="S107" s="90" t="str">
        <f>IF(AND($B107&gt;='1331'!$I$9,$B107&lt;='1331'!$J$9,OR($J107=$S$7,$K107=$S$7)),"x","")</f>
        <v/>
      </c>
      <c r="T107" s="90" t="str">
        <f>IF(AND($J107=$S$7,$B107&lt;'1331'!$I$9),"x","")</f>
        <v/>
      </c>
      <c r="U107" s="90" t="str">
        <f>IF(AND($K107=$S$7,$B107&lt;'1331'!$I$9),"x","")</f>
        <v/>
      </c>
      <c r="V107" s="90" t="str">
        <f>IF(AND('3411-CT'!$E$9=TH!H107,OR(TH!J107=TH!$V$7,K107=TH!$V$7)),"x","")</f>
        <v/>
      </c>
      <c r="W107" s="90" t="str">
        <f>IF(OR(TH!J107=TH!$W$7,K107=TH!$W$7),"x","")</f>
        <v/>
      </c>
      <c r="X107" s="90" t="str">
        <f t="shared" si="5"/>
        <v>3</v>
      </c>
    </row>
    <row r="108" spans="1:24" s="77" customFormat="1" ht="15.75" customHeight="1">
      <c r="A108" s="158" t="str">
        <f>IF(B108&lt;&gt;"",IF(AND(B108&gt;=_TM1,B108&lt;=_TM2,OR(TH!J108="1111",TH!K108="1111")),TH!D108,""),"")</f>
        <v/>
      </c>
      <c r="B108" s="63">
        <f t="shared" si="4"/>
        <v>8</v>
      </c>
      <c r="C108" s="64">
        <v>41865</v>
      </c>
      <c r="D108" s="64" t="s">
        <v>8</v>
      </c>
      <c r="E108" s="64">
        <v>41865</v>
      </c>
      <c r="F108" s="67" t="s">
        <v>21</v>
      </c>
      <c r="G108" s="439"/>
      <c r="H108" s="81"/>
      <c r="I108" s="65">
        <v>151275</v>
      </c>
      <c r="J108" s="66" t="s">
        <v>140</v>
      </c>
      <c r="K108" s="66" t="s">
        <v>34</v>
      </c>
      <c r="L108" s="90" t="str">
        <f>IF(AND('331-CT'!$E$7=TH!H108,OR(J108="331",K108="331")),"x","")</f>
        <v/>
      </c>
      <c r="M108" s="90" t="str">
        <f>IF(AND($B108&gt;='1111'!$N$10,$B108&lt;='1111'!$O$10,OR($J108=$M$7,$K108=$M$7)),"x","")</f>
        <v/>
      </c>
      <c r="N108" s="90" t="str">
        <f>IF(AND($J108=$M$7,$B108&lt;'1111'!$N$10),"x","")</f>
        <v/>
      </c>
      <c r="O108" s="90" t="str">
        <f>IF(AND($K108=$M$7,$B108&lt;'1111'!$N$10),"x","")</f>
        <v/>
      </c>
      <c r="P108" s="90" t="str">
        <f>IF(AND($B108&gt;='1121'!$N$9,$B108&lt;='1121'!$O$9,OR($J108=$P$7,$K108=$P$7)),"x","")</f>
        <v/>
      </c>
      <c r="Q108" s="90" t="str">
        <f>IF(AND($J108=$P$7,$B108&lt;'1121'!$N$9),"x","")</f>
        <v/>
      </c>
      <c r="R108" s="90" t="str">
        <f>IF(AND($K108=$P$7,$B108&lt;'1121'!$N$9),"x","")</f>
        <v>x</v>
      </c>
      <c r="S108" s="90" t="str">
        <f>IF(AND($B108&gt;='1331'!$I$9,$B108&lt;='1331'!$J$9,OR($J108=$S$7,$K108=$S$7)),"x","")</f>
        <v/>
      </c>
      <c r="T108" s="90" t="str">
        <f>IF(AND($J108=$S$7,$B108&lt;'1331'!$I$9),"x","")</f>
        <v/>
      </c>
      <c r="U108" s="90" t="str">
        <f>IF(AND($K108=$S$7,$B108&lt;'1331'!$I$9),"x","")</f>
        <v/>
      </c>
      <c r="V108" s="90" t="str">
        <f>IF(AND('3411-CT'!$E$9=TH!H108,OR(TH!J108=TH!$V$7,K108=TH!$V$7)),"x","")</f>
        <v/>
      </c>
      <c r="W108" s="90" t="str">
        <f>IF(OR(TH!J108=TH!$W$7,K108=TH!$W$7),"x","")</f>
        <v/>
      </c>
      <c r="X108" s="90" t="str">
        <f t="shared" si="5"/>
        <v>3</v>
      </c>
    </row>
    <row r="109" spans="1:24" s="77" customFormat="1" ht="15.75" customHeight="1">
      <c r="A109" s="158" t="str">
        <f>IF(B109&lt;&gt;"",IF(AND(B109&gt;=_TM1,B109&lt;=_TM2,OR(TH!J109="1111",TH!K109="1111")),TH!D109,""),"")</f>
        <v/>
      </c>
      <c r="B109" s="63">
        <f t="shared" si="4"/>
        <v>8</v>
      </c>
      <c r="C109" s="64">
        <v>41865</v>
      </c>
      <c r="D109" s="64" t="s">
        <v>8</v>
      </c>
      <c r="E109" s="64">
        <v>41865</v>
      </c>
      <c r="F109" s="67" t="s">
        <v>22</v>
      </c>
      <c r="G109" s="449"/>
      <c r="H109" s="7"/>
      <c r="I109" s="65">
        <v>15127</v>
      </c>
      <c r="J109" s="66" t="s">
        <v>10</v>
      </c>
      <c r="K109" s="66" t="s">
        <v>34</v>
      </c>
      <c r="L109" s="90" t="str">
        <f>IF(AND('331-CT'!$E$7=TH!H109,OR(J109="331",K109="331")),"x","")</f>
        <v/>
      </c>
      <c r="M109" s="90" t="str">
        <f>IF(AND($B109&gt;='1111'!$N$10,$B109&lt;='1111'!$O$10,OR($J109=$M$7,$K109=$M$7)),"x","")</f>
        <v/>
      </c>
      <c r="N109" s="90" t="str">
        <f>IF(AND($J109=$M$7,$B109&lt;'1111'!$N$10),"x","")</f>
        <v/>
      </c>
      <c r="O109" s="90" t="str">
        <f>IF(AND($K109=$M$7,$B109&lt;'1111'!$N$10),"x","")</f>
        <v/>
      </c>
      <c r="P109" s="90" t="str">
        <f>IF(AND($B109&gt;='1121'!$N$9,$B109&lt;='1121'!$O$9,OR($J109=$P$7,$K109=$P$7)),"x","")</f>
        <v/>
      </c>
      <c r="Q109" s="90" t="str">
        <f>IF(AND($J109=$P$7,$B109&lt;'1121'!$N$9),"x","")</f>
        <v/>
      </c>
      <c r="R109" s="90" t="str">
        <f>IF(AND($K109=$P$7,$B109&lt;'1121'!$N$9),"x","")</f>
        <v>x</v>
      </c>
      <c r="S109" s="90" t="str">
        <f>IF(AND($B109&gt;='1331'!$I$9,$B109&lt;='1331'!$J$9,OR($J109=$S$7,$K109=$S$7)),"x","")</f>
        <v>x</v>
      </c>
      <c r="T109" s="90" t="str">
        <f>IF(AND($J109=$S$7,$B109&lt;'1331'!$I$9),"x","")</f>
        <v/>
      </c>
      <c r="U109" s="90" t="str">
        <f>IF(AND($K109=$S$7,$B109&lt;'1331'!$I$9),"x","")</f>
        <v/>
      </c>
      <c r="V109" s="90" t="str">
        <f>IF(AND('3411-CT'!$E$9=TH!H109,OR(TH!J109=TH!$V$7,K109=TH!$V$7)),"x","")</f>
        <v/>
      </c>
      <c r="W109" s="90" t="str">
        <f>IF(OR(TH!J109=TH!$W$7,K109=TH!$W$7),"x","")</f>
        <v/>
      </c>
      <c r="X109" s="90" t="str">
        <f t="shared" si="5"/>
        <v>3</v>
      </c>
    </row>
    <row r="110" spans="1:24" s="77" customFormat="1" ht="15.75" customHeight="1">
      <c r="A110" s="158" t="str">
        <f>IF(B110&lt;&gt;"",IF(AND(B110&gt;=_TM1,B110&lt;=_TM2,OR(TH!J110="1111",TH!K110="1111")),TH!D110,""),"")</f>
        <v/>
      </c>
      <c r="B110" s="63">
        <f t="shared" si="4"/>
        <v>8</v>
      </c>
      <c r="C110" s="75">
        <v>41870</v>
      </c>
      <c r="D110" s="64" t="s">
        <v>11</v>
      </c>
      <c r="E110" s="64">
        <v>41870</v>
      </c>
      <c r="F110" s="67" t="s">
        <v>320</v>
      </c>
      <c r="G110" s="439"/>
      <c r="H110" s="79" t="s">
        <v>166</v>
      </c>
      <c r="I110" s="65">
        <v>1000000000</v>
      </c>
      <c r="J110" s="66" t="s">
        <v>34</v>
      </c>
      <c r="K110" s="66" t="s">
        <v>125</v>
      </c>
      <c r="L110" s="90" t="str">
        <f>IF(AND('331-CT'!$E$7=TH!H110,OR(J110="331",K110="331")),"x","")</f>
        <v/>
      </c>
      <c r="M110" s="90" t="str">
        <f>IF(AND($B110&gt;='1111'!$N$10,$B110&lt;='1111'!$O$10,OR($J110=$M$7,$K110=$M$7)),"x","")</f>
        <v/>
      </c>
      <c r="N110" s="90" t="str">
        <f>IF(AND($J110=$M$7,$B110&lt;'1111'!$N$10),"x","")</f>
        <v/>
      </c>
      <c r="O110" s="90" t="str">
        <f>IF(AND($K110=$M$7,$B110&lt;'1111'!$N$10),"x","")</f>
        <v/>
      </c>
      <c r="P110" s="90" t="str">
        <f>IF(AND($B110&gt;='1121'!$N$9,$B110&lt;='1121'!$O$9,OR($J110=$P$7,$K110=$P$7)),"x","")</f>
        <v/>
      </c>
      <c r="Q110" s="90" t="str">
        <f>IF(AND($J110=$P$7,$B110&lt;'1121'!$N$9),"x","")</f>
        <v>x</v>
      </c>
      <c r="R110" s="90" t="str">
        <f>IF(AND($K110=$P$7,$B110&lt;'1121'!$N$9),"x","")</f>
        <v/>
      </c>
      <c r="S110" s="90" t="str">
        <f>IF(AND($B110&gt;='1331'!$I$9,$B110&lt;='1331'!$J$9,OR($J110=$S$7,$K110=$S$7)),"x","")</f>
        <v/>
      </c>
      <c r="T110" s="90" t="str">
        <f>IF(AND($J110=$S$7,$B110&lt;'1331'!$I$9),"x","")</f>
        <v/>
      </c>
      <c r="U110" s="90" t="str">
        <f>IF(AND($K110=$S$7,$B110&lt;'1331'!$I$9),"x","")</f>
        <v/>
      </c>
      <c r="V110" s="90" t="str">
        <f>IF(AND('3411-CT'!$E$9=TH!H110,OR(TH!J110=TH!$V$7,K110=TH!$V$7)),"x","")</f>
        <v>x</v>
      </c>
      <c r="W110" s="90" t="str">
        <f>IF(OR(TH!J110=TH!$W$7,K110=TH!$W$7),"x","")</f>
        <v/>
      </c>
      <c r="X110" s="90" t="str">
        <f t="shared" si="5"/>
        <v>3</v>
      </c>
    </row>
    <row r="111" spans="1:24" s="77" customFormat="1" ht="15.75" customHeight="1">
      <c r="A111" s="158" t="str">
        <f>IF(B111&lt;&gt;"",IF(AND(B111&gt;=_TM1,B111&lt;=_TM2,OR(TH!J111="1111",TH!K111="1111")),TH!D111,""),"")</f>
        <v/>
      </c>
      <c r="B111" s="63">
        <f t="shared" si="4"/>
        <v>8</v>
      </c>
      <c r="C111" s="64">
        <v>41871</v>
      </c>
      <c r="D111" s="64" t="s">
        <v>8</v>
      </c>
      <c r="E111" s="64">
        <v>41871</v>
      </c>
      <c r="F111" s="67" t="s">
        <v>73</v>
      </c>
      <c r="G111" s="439"/>
      <c r="H111" s="79" t="s">
        <v>72</v>
      </c>
      <c r="I111" s="65">
        <v>50000000</v>
      </c>
      <c r="J111" s="66" t="s">
        <v>9</v>
      </c>
      <c r="K111" s="66" t="s">
        <v>34</v>
      </c>
      <c r="L111" s="90" t="str">
        <f>IF(AND('331-CT'!$E$7=TH!H111,OR(J111="331",K111="331")),"x","")</f>
        <v/>
      </c>
      <c r="M111" s="90" t="str">
        <f>IF(AND($B111&gt;='1111'!$N$10,$B111&lt;='1111'!$O$10,OR($J111=$M$7,$K111=$M$7)),"x","")</f>
        <v/>
      </c>
      <c r="N111" s="90" t="str">
        <f>IF(AND($J111=$M$7,$B111&lt;'1111'!$N$10),"x","")</f>
        <v/>
      </c>
      <c r="O111" s="90" t="str">
        <f>IF(AND($K111=$M$7,$B111&lt;'1111'!$N$10),"x","")</f>
        <v/>
      </c>
      <c r="P111" s="90" t="str">
        <f>IF(AND($B111&gt;='1121'!$N$9,$B111&lt;='1121'!$O$9,OR($J111=$P$7,$K111=$P$7)),"x","")</f>
        <v/>
      </c>
      <c r="Q111" s="90" t="str">
        <f>IF(AND($J111=$P$7,$B111&lt;'1121'!$N$9),"x","")</f>
        <v/>
      </c>
      <c r="R111" s="90" t="str">
        <f>IF(AND($K111=$P$7,$B111&lt;'1121'!$N$9),"x","")</f>
        <v>x</v>
      </c>
      <c r="S111" s="90" t="str">
        <f>IF(AND($B111&gt;='1331'!$I$9,$B111&lt;='1331'!$J$9,OR($J111=$S$7,$K111=$S$7)),"x","")</f>
        <v/>
      </c>
      <c r="T111" s="90" t="str">
        <f>IF(AND($J111=$S$7,$B111&lt;'1331'!$I$9),"x","")</f>
        <v/>
      </c>
      <c r="U111" s="90" t="str">
        <f>IF(AND($K111=$S$7,$B111&lt;'1331'!$I$9),"x","")</f>
        <v/>
      </c>
      <c r="V111" s="90" t="str">
        <f>IF(AND('3411-CT'!$E$9=TH!H111,OR(TH!J111=TH!$V$7,K111=TH!$V$7)),"x","")</f>
        <v/>
      </c>
      <c r="W111" s="90" t="str">
        <f>IF(OR(TH!J111=TH!$W$7,K111=TH!$W$7),"x","")</f>
        <v/>
      </c>
      <c r="X111" s="90" t="str">
        <f t="shared" si="5"/>
        <v>3</v>
      </c>
    </row>
    <row r="112" spans="1:24" s="77" customFormat="1" ht="15.75" customHeight="1">
      <c r="A112" s="158" t="str">
        <f>IF(B112&lt;&gt;"",IF(AND(B112&gt;=_TM1,B112&lt;=_TM2,OR(TH!J112="1111",TH!K112="1111")),TH!D112,""),"")</f>
        <v/>
      </c>
      <c r="B112" s="63">
        <f t="shared" si="4"/>
        <v>8</v>
      </c>
      <c r="C112" s="64">
        <v>41871</v>
      </c>
      <c r="D112" s="64" t="s">
        <v>8</v>
      </c>
      <c r="E112" s="64">
        <v>41871</v>
      </c>
      <c r="F112" s="67" t="s">
        <v>21</v>
      </c>
      <c r="G112" s="439"/>
      <c r="H112" s="79"/>
      <c r="I112" s="65">
        <v>25000</v>
      </c>
      <c r="J112" s="66" t="s">
        <v>140</v>
      </c>
      <c r="K112" s="66" t="s">
        <v>34</v>
      </c>
      <c r="L112" s="90" t="str">
        <f>IF(AND('331-CT'!$E$7=TH!H112,OR(J112="331",K112="331")),"x","")</f>
        <v/>
      </c>
      <c r="M112" s="90" t="str">
        <f>IF(AND($B112&gt;='1111'!$N$10,$B112&lt;='1111'!$O$10,OR($J112=$M$7,$K112=$M$7)),"x","")</f>
        <v/>
      </c>
      <c r="N112" s="90" t="str">
        <f>IF(AND($J112=$M$7,$B112&lt;'1111'!$N$10),"x","")</f>
        <v/>
      </c>
      <c r="O112" s="90" t="str">
        <f>IF(AND($K112=$M$7,$B112&lt;'1111'!$N$10),"x","")</f>
        <v/>
      </c>
      <c r="P112" s="90" t="str">
        <f>IF(AND($B112&gt;='1121'!$N$9,$B112&lt;='1121'!$O$9,OR($J112=$P$7,$K112=$P$7)),"x","")</f>
        <v/>
      </c>
      <c r="Q112" s="90" t="str">
        <f>IF(AND($J112=$P$7,$B112&lt;'1121'!$N$9),"x","")</f>
        <v/>
      </c>
      <c r="R112" s="90" t="str">
        <f>IF(AND($K112=$P$7,$B112&lt;'1121'!$N$9),"x","")</f>
        <v>x</v>
      </c>
      <c r="S112" s="90" t="str">
        <f>IF(AND($B112&gt;='1331'!$I$9,$B112&lt;='1331'!$J$9,OR($J112=$S$7,$K112=$S$7)),"x","")</f>
        <v/>
      </c>
      <c r="T112" s="90" t="str">
        <f>IF(AND($J112=$S$7,$B112&lt;'1331'!$I$9),"x","")</f>
        <v/>
      </c>
      <c r="U112" s="90" t="str">
        <f>IF(AND($K112=$S$7,$B112&lt;'1331'!$I$9),"x","")</f>
        <v/>
      </c>
      <c r="V112" s="90" t="str">
        <f>IF(AND('3411-CT'!$E$9=TH!H112,OR(TH!J112=TH!$V$7,K112=TH!$V$7)),"x","")</f>
        <v/>
      </c>
      <c r="W112" s="90" t="str">
        <f>IF(OR(TH!J112=TH!$W$7,K112=TH!$W$7),"x","")</f>
        <v/>
      </c>
      <c r="X112" s="90" t="str">
        <f t="shared" si="5"/>
        <v>3</v>
      </c>
    </row>
    <row r="113" spans="1:24" s="77" customFormat="1" ht="15.75" customHeight="1">
      <c r="A113" s="158" t="str">
        <f>IF(B113&lt;&gt;"",IF(AND(B113&gt;=_TM1,B113&lt;=_TM2,OR(TH!J113="1111",TH!K113="1111")),TH!D113,""),"")</f>
        <v/>
      </c>
      <c r="B113" s="63">
        <f t="shared" si="4"/>
        <v>8</v>
      </c>
      <c r="C113" s="75">
        <v>41871</v>
      </c>
      <c r="D113" s="64" t="s">
        <v>8</v>
      </c>
      <c r="E113" s="64">
        <v>41871</v>
      </c>
      <c r="F113" s="67" t="s">
        <v>22</v>
      </c>
      <c r="G113" s="439"/>
      <c r="H113" s="79"/>
      <c r="I113" s="65">
        <v>2500</v>
      </c>
      <c r="J113" s="66" t="s">
        <v>10</v>
      </c>
      <c r="K113" s="66" t="s">
        <v>34</v>
      </c>
      <c r="L113" s="90" t="str">
        <f>IF(AND('331-CT'!$E$7=TH!H113,OR(J113="331",K113="331")),"x","")</f>
        <v/>
      </c>
      <c r="M113" s="90" t="str">
        <f>IF(AND($B113&gt;='1111'!$N$10,$B113&lt;='1111'!$O$10,OR($J113=$M$7,$K113=$M$7)),"x","")</f>
        <v/>
      </c>
      <c r="N113" s="90" t="str">
        <f>IF(AND($J113=$M$7,$B113&lt;'1111'!$N$10),"x","")</f>
        <v/>
      </c>
      <c r="O113" s="90" t="str">
        <f>IF(AND($K113=$M$7,$B113&lt;'1111'!$N$10),"x","")</f>
        <v/>
      </c>
      <c r="P113" s="90" t="str">
        <f>IF(AND($B113&gt;='1121'!$N$9,$B113&lt;='1121'!$O$9,OR($J113=$P$7,$K113=$P$7)),"x","")</f>
        <v/>
      </c>
      <c r="Q113" s="90" t="str">
        <f>IF(AND($J113=$P$7,$B113&lt;'1121'!$N$9),"x","")</f>
        <v/>
      </c>
      <c r="R113" s="90" t="str">
        <f>IF(AND($K113=$P$7,$B113&lt;'1121'!$N$9),"x","")</f>
        <v>x</v>
      </c>
      <c r="S113" s="90" t="str">
        <f>IF(AND($B113&gt;='1331'!$I$9,$B113&lt;='1331'!$J$9,OR($J113=$S$7,$K113=$S$7)),"x","")</f>
        <v>x</v>
      </c>
      <c r="T113" s="90" t="str">
        <f>IF(AND($J113=$S$7,$B113&lt;'1331'!$I$9),"x","")</f>
        <v/>
      </c>
      <c r="U113" s="90" t="str">
        <f>IF(AND($K113=$S$7,$B113&lt;'1331'!$I$9),"x","")</f>
        <v/>
      </c>
      <c r="V113" s="90" t="str">
        <f>IF(AND('3411-CT'!$E$9=TH!H113,OR(TH!J113=TH!$V$7,K113=TH!$V$7)),"x","")</f>
        <v/>
      </c>
      <c r="W113" s="90" t="str">
        <f>IF(OR(TH!J113=TH!$W$7,K113=TH!$W$7),"x","")</f>
        <v/>
      </c>
      <c r="X113" s="90" t="str">
        <f t="shared" si="5"/>
        <v>3</v>
      </c>
    </row>
    <row r="114" spans="1:24" s="77" customFormat="1" ht="15.75" customHeight="1">
      <c r="A114" s="158" t="str">
        <f>IF(B114&lt;&gt;"",IF(AND(B114&gt;=_TM1,B114&lt;=_TM2,OR(TH!J114="1111",TH!K114="1111")),TH!D114,""),"")</f>
        <v/>
      </c>
      <c r="B114" s="63">
        <f t="shared" si="4"/>
        <v>8</v>
      </c>
      <c r="C114" s="75">
        <v>41871</v>
      </c>
      <c r="D114" s="64" t="s">
        <v>8</v>
      </c>
      <c r="E114" s="64">
        <v>41871</v>
      </c>
      <c r="F114" s="67" t="s">
        <v>321</v>
      </c>
      <c r="G114" s="439"/>
      <c r="H114" s="79" t="s">
        <v>71</v>
      </c>
      <c r="I114" s="65">
        <v>80000000</v>
      </c>
      <c r="J114" s="66" t="s">
        <v>9</v>
      </c>
      <c r="K114" s="66" t="s">
        <v>34</v>
      </c>
      <c r="L114" s="90" t="str">
        <f>IF(AND('331-CT'!$E$7=TH!H114,OR(J114="331",K114="331")),"x","")</f>
        <v/>
      </c>
      <c r="M114" s="90" t="str">
        <f>IF(AND($B114&gt;='1111'!$N$10,$B114&lt;='1111'!$O$10,OR($J114=$M$7,$K114=$M$7)),"x","")</f>
        <v/>
      </c>
      <c r="N114" s="90" t="str">
        <f>IF(AND($J114=$M$7,$B114&lt;'1111'!$N$10),"x","")</f>
        <v/>
      </c>
      <c r="O114" s="90" t="str">
        <f>IF(AND($K114=$M$7,$B114&lt;'1111'!$N$10),"x","")</f>
        <v/>
      </c>
      <c r="P114" s="90" t="str">
        <f>IF(AND($B114&gt;='1121'!$N$9,$B114&lt;='1121'!$O$9,OR($J114=$P$7,$K114=$P$7)),"x","")</f>
        <v/>
      </c>
      <c r="Q114" s="90" t="str">
        <f>IF(AND($J114=$P$7,$B114&lt;'1121'!$N$9),"x","")</f>
        <v/>
      </c>
      <c r="R114" s="90" t="str">
        <f>IF(AND($K114=$P$7,$B114&lt;'1121'!$N$9),"x","")</f>
        <v>x</v>
      </c>
      <c r="S114" s="90" t="str">
        <f>IF(AND($B114&gt;='1331'!$I$9,$B114&lt;='1331'!$J$9,OR($J114=$S$7,$K114=$S$7)),"x","")</f>
        <v/>
      </c>
      <c r="T114" s="90" t="str">
        <f>IF(AND($J114=$S$7,$B114&lt;'1331'!$I$9),"x","")</f>
        <v/>
      </c>
      <c r="U114" s="90" t="str">
        <f>IF(AND($K114=$S$7,$B114&lt;'1331'!$I$9),"x","")</f>
        <v/>
      </c>
      <c r="V114" s="90" t="str">
        <f>IF(AND('3411-CT'!$E$9=TH!H114,OR(TH!J114=TH!$V$7,K114=TH!$V$7)),"x","")</f>
        <v/>
      </c>
      <c r="W114" s="90" t="str">
        <f>IF(OR(TH!J114=TH!$W$7,K114=TH!$W$7),"x","")</f>
        <v/>
      </c>
      <c r="X114" s="90" t="str">
        <f t="shared" si="5"/>
        <v>3</v>
      </c>
    </row>
    <row r="115" spans="1:24" s="77" customFormat="1" ht="15.75" customHeight="1">
      <c r="A115" s="158" t="str">
        <f>IF(B115&lt;&gt;"",IF(AND(B115&gt;=_TM1,B115&lt;=_TM2,OR(TH!J115="1111",TH!K115="1111")),TH!D115,""),"")</f>
        <v/>
      </c>
      <c r="B115" s="63">
        <f t="shared" si="4"/>
        <v>8</v>
      </c>
      <c r="C115" s="64">
        <v>41871</v>
      </c>
      <c r="D115" s="64" t="s">
        <v>8</v>
      </c>
      <c r="E115" s="64">
        <v>41871</v>
      </c>
      <c r="F115" s="67" t="s">
        <v>21</v>
      </c>
      <c r="G115" s="439"/>
      <c r="H115" s="79"/>
      <c r="I115" s="65">
        <v>24000</v>
      </c>
      <c r="J115" s="66" t="s">
        <v>140</v>
      </c>
      <c r="K115" s="66" t="s">
        <v>34</v>
      </c>
      <c r="L115" s="90" t="str">
        <f>IF(AND('331-CT'!$E$7=TH!H115,OR(J115="331",K115="331")),"x","")</f>
        <v/>
      </c>
      <c r="M115" s="90" t="str">
        <f>IF(AND($B115&gt;='1111'!$N$10,$B115&lt;='1111'!$O$10,OR($J115=$M$7,$K115=$M$7)),"x","")</f>
        <v/>
      </c>
      <c r="N115" s="90" t="str">
        <f>IF(AND($J115=$M$7,$B115&lt;'1111'!$N$10),"x","")</f>
        <v/>
      </c>
      <c r="O115" s="90" t="str">
        <f>IF(AND($K115=$M$7,$B115&lt;'1111'!$N$10),"x","")</f>
        <v/>
      </c>
      <c r="P115" s="90" t="str">
        <f>IF(AND($B115&gt;='1121'!$N$9,$B115&lt;='1121'!$O$9,OR($J115=$P$7,$K115=$P$7)),"x","")</f>
        <v/>
      </c>
      <c r="Q115" s="90" t="str">
        <f>IF(AND($J115=$P$7,$B115&lt;'1121'!$N$9),"x","")</f>
        <v/>
      </c>
      <c r="R115" s="90" t="str">
        <f>IF(AND($K115=$P$7,$B115&lt;'1121'!$N$9),"x","")</f>
        <v>x</v>
      </c>
      <c r="S115" s="90" t="str">
        <f>IF(AND($B115&gt;='1331'!$I$9,$B115&lt;='1331'!$J$9,OR($J115=$S$7,$K115=$S$7)),"x","")</f>
        <v/>
      </c>
      <c r="T115" s="90" t="str">
        <f>IF(AND($J115=$S$7,$B115&lt;'1331'!$I$9),"x","")</f>
        <v/>
      </c>
      <c r="U115" s="90" t="str">
        <f>IF(AND($K115=$S$7,$B115&lt;'1331'!$I$9),"x","")</f>
        <v/>
      </c>
      <c r="V115" s="90" t="str">
        <f>IF(AND('3411-CT'!$E$9=TH!H115,OR(TH!J115=TH!$V$7,K115=TH!$V$7)),"x","")</f>
        <v/>
      </c>
      <c r="W115" s="90" t="str">
        <f>IF(OR(TH!J115=TH!$W$7,K115=TH!$W$7),"x","")</f>
        <v/>
      </c>
      <c r="X115" s="90" t="str">
        <f t="shared" si="5"/>
        <v>3</v>
      </c>
    </row>
    <row r="116" spans="1:24" s="77" customFormat="1" ht="15.75" customHeight="1">
      <c r="A116" s="158" t="str">
        <f>IF(B116&lt;&gt;"",IF(AND(B116&gt;=_TM1,B116&lt;=_TM2,OR(TH!J116="1111",TH!K116="1111")),TH!D116,""),"")</f>
        <v/>
      </c>
      <c r="B116" s="63">
        <f t="shared" si="4"/>
        <v>8</v>
      </c>
      <c r="C116" s="64">
        <v>41871</v>
      </c>
      <c r="D116" s="64" t="s">
        <v>8</v>
      </c>
      <c r="E116" s="64">
        <v>41871</v>
      </c>
      <c r="F116" s="67" t="s">
        <v>22</v>
      </c>
      <c r="G116" s="439"/>
      <c r="H116" s="79"/>
      <c r="I116" s="65">
        <v>2400</v>
      </c>
      <c r="J116" s="66" t="s">
        <v>10</v>
      </c>
      <c r="K116" s="66" t="s">
        <v>34</v>
      </c>
      <c r="L116" s="90" t="str">
        <f>IF(AND('331-CT'!$E$7=TH!H116,OR(J116="331",K116="331")),"x","")</f>
        <v/>
      </c>
      <c r="M116" s="90" t="str">
        <f>IF(AND($B116&gt;='1111'!$N$10,$B116&lt;='1111'!$O$10,OR($J116=$M$7,$K116=$M$7)),"x","")</f>
        <v/>
      </c>
      <c r="N116" s="90" t="str">
        <f>IF(AND($J116=$M$7,$B116&lt;'1111'!$N$10),"x","")</f>
        <v/>
      </c>
      <c r="O116" s="90" t="str">
        <f>IF(AND($K116=$M$7,$B116&lt;'1111'!$N$10),"x","")</f>
        <v/>
      </c>
      <c r="P116" s="90" t="str">
        <f>IF(AND($B116&gt;='1121'!$N$9,$B116&lt;='1121'!$O$9,OR($J116=$P$7,$K116=$P$7)),"x","")</f>
        <v/>
      </c>
      <c r="Q116" s="90" t="str">
        <f>IF(AND($J116=$P$7,$B116&lt;'1121'!$N$9),"x","")</f>
        <v/>
      </c>
      <c r="R116" s="90" t="str">
        <f>IF(AND($K116=$P$7,$B116&lt;'1121'!$N$9),"x","")</f>
        <v>x</v>
      </c>
      <c r="S116" s="90" t="str">
        <f>IF(AND($B116&gt;='1331'!$I$9,$B116&lt;='1331'!$J$9,OR($J116=$S$7,$K116=$S$7)),"x","")</f>
        <v>x</v>
      </c>
      <c r="T116" s="90" t="str">
        <f>IF(AND($J116=$S$7,$B116&lt;'1331'!$I$9),"x","")</f>
        <v/>
      </c>
      <c r="U116" s="90" t="str">
        <f>IF(AND($K116=$S$7,$B116&lt;'1331'!$I$9),"x","")</f>
        <v/>
      </c>
      <c r="V116" s="90" t="str">
        <f>IF(AND('3411-CT'!$E$9=TH!H116,OR(TH!J116=TH!$V$7,K116=TH!$V$7)),"x","")</f>
        <v/>
      </c>
      <c r="W116" s="90" t="str">
        <f>IF(OR(TH!J116=TH!$W$7,K116=TH!$W$7),"x","")</f>
        <v/>
      </c>
      <c r="X116" s="90" t="str">
        <f t="shared" si="5"/>
        <v>3</v>
      </c>
    </row>
    <row r="117" spans="1:24" s="77" customFormat="1" ht="15.75" customHeight="1">
      <c r="A117" s="158" t="str">
        <f>IF(B117&lt;&gt;"",IF(AND(B117&gt;=_TM1,B117&lt;=_TM2,OR(TH!J117="1111",TH!K117="1111")),TH!D117,""),"")</f>
        <v/>
      </c>
      <c r="B117" s="63">
        <f t="shared" si="4"/>
        <v>8</v>
      </c>
      <c r="C117" s="75">
        <v>41871</v>
      </c>
      <c r="D117" s="64" t="s">
        <v>8</v>
      </c>
      <c r="E117" s="64">
        <v>41871</v>
      </c>
      <c r="F117" s="67" t="s">
        <v>312</v>
      </c>
      <c r="G117" s="439"/>
      <c r="H117" s="79" t="s">
        <v>59</v>
      </c>
      <c r="I117" s="65">
        <v>50000000</v>
      </c>
      <c r="J117" s="66" t="s">
        <v>9</v>
      </c>
      <c r="K117" s="66" t="s">
        <v>34</v>
      </c>
      <c r="L117" s="90" t="str">
        <f>IF(AND('331-CT'!$E$7=TH!H117,OR(J117="331",K117="331")),"x","")</f>
        <v/>
      </c>
      <c r="M117" s="90" t="str">
        <f>IF(AND($B117&gt;='1111'!$N$10,$B117&lt;='1111'!$O$10,OR($J117=$M$7,$K117=$M$7)),"x","")</f>
        <v/>
      </c>
      <c r="N117" s="90" t="str">
        <f>IF(AND($J117=$M$7,$B117&lt;'1111'!$N$10),"x","")</f>
        <v/>
      </c>
      <c r="O117" s="90" t="str">
        <f>IF(AND($K117=$M$7,$B117&lt;'1111'!$N$10),"x","")</f>
        <v/>
      </c>
      <c r="P117" s="90" t="str">
        <f>IF(AND($B117&gt;='1121'!$N$9,$B117&lt;='1121'!$O$9,OR($J117=$P$7,$K117=$P$7)),"x","")</f>
        <v/>
      </c>
      <c r="Q117" s="90" t="str">
        <f>IF(AND($J117=$P$7,$B117&lt;'1121'!$N$9),"x","")</f>
        <v/>
      </c>
      <c r="R117" s="90" t="str">
        <f>IF(AND($K117=$P$7,$B117&lt;'1121'!$N$9),"x","")</f>
        <v>x</v>
      </c>
      <c r="S117" s="90" t="str">
        <f>IF(AND($B117&gt;='1331'!$I$9,$B117&lt;='1331'!$J$9,OR($J117=$S$7,$K117=$S$7)),"x","")</f>
        <v/>
      </c>
      <c r="T117" s="90" t="str">
        <f>IF(AND($J117=$S$7,$B117&lt;'1331'!$I$9),"x","")</f>
        <v/>
      </c>
      <c r="U117" s="90" t="str">
        <f>IF(AND($K117=$S$7,$B117&lt;'1331'!$I$9),"x","")</f>
        <v/>
      </c>
      <c r="V117" s="90" t="str">
        <f>IF(AND('3411-CT'!$E$9=TH!H117,OR(TH!J117=TH!$V$7,K117=TH!$V$7)),"x","")</f>
        <v/>
      </c>
      <c r="W117" s="90" t="str">
        <f>IF(OR(TH!J117=TH!$W$7,K117=TH!$W$7),"x","")</f>
        <v/>
      </c>
      <c r="X117" s="90" t="str">
        <f t="shared" si="5"/>
        <v>3</v>
      </c>
    </row>
    <row r="118" spans="1:24" s="77" customFormat="1" ht="15.75" customHeight="1">
      <c r="A118" s="158" t="str">
        <f>IF(B118&lt;&gt;"",IF(AND(B118&gt;=_TM1,B118&lt;=_TM2,OR(TH!J118="1111",TH!K118="1111")),TH!D118,""),"")</f>
        <v/>
      </c>
      <c r="B118" s="63">
        <f t="shared" si="4"/>
        <v>8</v>
      </c>
      <c r="C118" s="75">
        <v>41871</v>
      </c>
      <c r="D118" s="64" t="s">
        <v>8</v>
      </c>
      <c r="E118" s="64">
        <v>41871</v>
      </c>
      <c r="F118" s="67" t="s">
        <v>21</v>
      </c>
      <c r="G118" s="439"/>
      <c r="H118" s="79"/>
      <c r="I118" s="65">
        <v>25000</v>
      </c>
      <c r="J118" s="69" t="s">
        <v>140</v>
      </c>
      <c r="K118" s="66" t="s">
        <v>34</v>
      </c>
      <c r="L118" s="90" t="str">
        <f>IF(AND('331-CT'!$E$7=TH!H118,OR(J118="331",K118="331")),"x","")</f>
        <v/>
      </c>
      <c r="M118" s="90" t="str">
        <f>IF(AND($B118&gt;='1111'!$N$10,$B118&lt;='1111'!$O$10,OR($J118=$M$7,$K118=$M$7)),"x","")</f>
        <v/>
      </c>
      <c r="N118" s="90" t="str">
        <f>IF(AND($J118=$M$7,$B118&lt;'1111'!$N$10),"x","")</f>
        <v/>
      </c>
      <c r="O118" s="90" t="str">
        <f>IF(AND($K118=$M$7,$B118&lt;'1111'!$N$10),"x","")</f>
        <v/>
      </c>
      <c r="P118" s="90" t="str">
        <f>IF(AND($B118&gt;='1121'!$N$9,$B118&lt;='1121'!$O$9,OR($J118=$P$7,$K118=$P$7)),"x","")</f>
        <v/>
      </c>
      <c r="Q118" s="90" t="str">
        <f>IF(AND($J118=$P$7,$B118&lt;'1121'!$N$9),"x","")</f>
        <v/>
      </c>
      <c r="R118" s="90" t="str">
        <f>IF(AND($K118=$P$7,$B118&lt;'1121'!$N$9),"x","")</f>
        <v>x</v>
      </c>
      <c r="S118" s="90" t="str">
        <f>IF(AND($B118&gt;='1331'!$I$9,$B118&lt;='1331'!$J$9,OR($J118=$S$7,$K118=$S$7)),"x","")</f>
        <v/>
      </c>
      <c r="T118" s="90" t="str">
        <f>IF(AND($J118=$S$7,$B118&lt;'1331'!$I$9),"x","")</f>
        <v/>
      </c>
      <c r="U118" s="90" t="str">
        <f>IF(AND($K118=$S$7,$B118&lt;'1331'!$I$9),"x","")</f>
        <v/>
      </c>
      <c r="V118" s="90" t="str">
        <f>IF(AND('3411-CT'!$E$9=TH!H118,OR(TH!J118=TH!$V$7,K118=TH!$V$7)),"x","")</f>
        <v/>
      </c>
      <c r="W118" s="90" t="str">
        <f>IF(OR(TH!J118=TH!$W$7,K118=TH!$W$7),"x","")</f>
        <v/>
      </c>
      <c r="X118" s="90" t="str">
        <f t="shared" si="5"/>
        <v>3</v>
      </c>
    </row>
    <row r="119" spans="1:24" s="77" customFormat="1" ht="15.75" customHeight="1">
      <c r="A119" s="158" t="str">
        <f>IF(B119&lt;&gt;"",IF(AND(B119&gt;=_TM1,B119&lt;=_TM2,OR(TH!J119="1111",TH!K119="1111")),TH!D119,""),"")</f>
        <v/>
      </c>
      <c r="B119" s="63">
        <f t="shared" si="4"/>
        <v>8</v>
      </c>
      <c r="C119" s="64">
        <v>41871</v>
      </c>
      <c r="D119" s="64" t="s">
        <v>8</v>
      </c>
      <c r="E119" s="64">
        <v>41871</v>
      </c>
      <c r="F119" s="67" t="s">
        <v>22</v>
      </c>
      <c r="G119" s="439"/>
      <c r="H119" s="79"/>
      <c r="I119" s="65">
        <v>2500</v>
      </c>
      <c r="J119" s="66" t="s">
        <v>10</v>
      </c>
      <c r="K119" s="66" t="s">
        <v>34</v>
      </c>
      <c r="L119" s="90" t="str">
        <f>IF(AND('331-CT'!$E$7=TH!H119,OR(J119="331",K119="331")),"x","")</f>
        <v/>
      </c>
      <c r="M119" s="90" t="str">
        <f>IF(AND($B119&gt;='1111'!$N$10,$B119&lt;='1111'!$O$10,OR($J119=$M$7,$K119=$M$7)),"x","")</f>
        <v/>
      </c>
      <c r="N119" s="90" t="str">
        <f>IF(AND($J119=$M$7,$B119&lt;'1111'!$N$10),"x","")</f>
        <v/>
      </c>
      <c r="O119" s="90" t="str">
        <f>IF(AND($K119=$M$7,$B119&lt;'1111'!$N$10),"x","")</f>
        <v/>
      </c>
      <c r="P119" s="90" t="str">
        <f>IF(AND($B119&gt;='1121'!$N$9,$B119&lt;='1121'!$O$9,OR($J119=$P$7,$K119=$P$7)),"x","")</f>
        <v/>
      </c>
      <c r="Q119" s="90" t="str">
        <f>IF(AND($J119=$P$7,$B119&lt;'1121'!$N$9),"x","")</f>
        <v/>
      </c>
      <c r="R119" s="90" t="str">
        <f>IF(AND($K119=$P$7,$B119&lt;'1121'!$N$9),"x","")</f>
        <v>x</v>
      </c>
      <c r="S119" s="90" t="str">
        <f>IF(AND($B119&gt;='1331'!$I$9,$B119&lt;='1331'!$J$9,OR($J119=$S$7,$K119=$S$7)),"x","")</f>
        <v>x</v>
      </c>
      <c r="T119" s="90" t="str">
        <f>IF(AND($J119=$S$7,$B119&lt;'1331'!$I$9),"x","")</f>
        <v/>
      </c>
      <c r="U119" s="90" t="str">
        <f>IF(AND($K119=$S$7,$B119&lt;'1331'!$I$9),"x","")</f>
        <v/>
      </c>
      <c r="V119" s="90" t="str">
        <f>IF(AND('3411-CT'!$E$9=TH!H119,OR(TH!J119=TH!$V$7,K119=TH!$V$7)),"x","")</f>
        <v/>
      </c>
      <c r="W119" s="90" t="str">
        <f>IF(OR(TH!J119=TH!$W$7,K119=TH!$W$7),"x","")</f>
        <v/>
      </c>
      <c r="X119" s="90" t="str">
        <f t="shared" si="5"/>
        <v>3</v>
      </c>
    </row>
    <row r="120" spans="1:24" s="77" customFormat="1" ht="15.75" customHeight="1">
      <c r="A120" s="158" t="str">
        <f>IF(B120&lt;&gt;"",IF(AND(B120&gt;=_TM1,B120&lt;=_TM2,OR(TH!J120="1111",TH!K120="1111")),TH!D120,""),"")</f>
        <v/>
      </c>
      <c r="B120" s="63">
        <f t="shared" si="4"/>
        <v>8</v>
      </c>
      <c r="C120" s="64">
        <v>41871</v>
      </c>
      <c r="D120" s="64" t="s">
        <v>8</v>
      </c>
      <c r="E120" s="64">
        <v>41871</v>
      </c>
      <c r="F120" s="67" t="s">
        <v>311</v>
      </c>
      <c r="G120" s="439"/>
      <c r="H120" s="79" t="s">
        <v>57</v>
      </c>
      <c r="I120" s="65">
        <v>378779940</v>
      </c>
      <c r="J120" s="66" t="s">
        <v>9</v>
      </c>
      <c r="K120" s="66" t="s">
        <v>34</v>
      </c>
      <c r="L120" s="90" t="str">
        <f>IF(AND('331-CT'!$E$7=TH!H120,OR(J120="331",K120="331")),"x","")</f>
        <v/>
      </c>
      <c r="M120" s="90" t="str">
        <f>IF(AND($B120&gt;='1111'!$N$10,$B120&lt;='1111'!$O$10,OR($J120=$M$7,$K120=$M$7)),"x","")</f>
        <v/>
      </c>
      <c r="N120" s="90" t="str">
        <f>IF(AND($J120=$M$7,$B120&lt;'1111'!$N$10),"x","")</f>
        <v/>
      </c>
      <c r="O120" s="90" t="str">
        <f>IF(AND($K120=$M$7,$B120&lt;'1111'!$N$10),"x","")</f>
        <v/>
      </c>
      <c r="P120" s="90" t="str">
        <f>IF(AND($B120&gt;='1121'!$N$9,$B120&lt;='1121'!$O$9,OR($J120=$P$7,$K120=$P$7)),"x","")</f>
        <v/>
      </c>
      <c r="Q120" s="90" t="str">
        <f>IF(AND($J120=$P$7,$B120&lt;'1121'!$N$9),"x","")</f>
        <v/>
      </c>
      <c r="R120" s="90" t="str">
        <f>IF(AND($K120=$P$7,$B120&lt;'1121'!$N$9),"x","")</f>
        <v>x</v>
      </c>
      <c r="S120" s="90" t="str">
        <f>IF(AND($B120&gt;='1331'!$I$9,$B120&lt;='1331'!$J$9,OR($J120=$S$7,$K120=$S$7)),"x","")</f>
        <v/>
      </c>
      <c r="T120" s="90" t="str">
        <f>IF(AND($J120=$S$7,$B120&lt;'1331'!$I$9),"x","")</f>
        <v/>
      </c>
      <c r="U120" s="90" t="str">
        <f>IF(AND($K120=$S$7,$B120&lt;'1331'!$I$9),"x","")</f>
        <v/>
      </c>
      <c r="V120" s="90" t="str">
        <f>IF(AND('3411-CT'!$E$9=TH!H120,OR(TH!J120=TH!$V$7,K120=TH!$V$7)),"x","")</f>
        <v/>
      </c>
      <c r="W120" s="90" t="str">
        <f>IF(OR(TH!J120=TH!$W$7,K120=TH!$W$7),"x","")</f>
        <v/>
      </c>
      <c r="X120" s="90" t="str">
        <f t="shared" si="5"/>
        <v>3</v>
      </c>
    </row>
    <row r="121" spans="1:24" s="77" customFormat="1" ht="15.75" customHeight="1">
      <c r="A121" s="158" t="str">
        <f>IF(B121&lt;&gt;"",IF(AND(B121&gt;=_TM1,B121&lt;=_TM2,OR(TH!J121="1111",TH!K121="1111")),TH!D121,""),"")</f>
        <v/>
      </c>
      <c r="B121" s="63">
        <f t="shared" si="4"/>
        <v>8</v>
      </c>
      <c r="C121" s="75">
        <v>41871</v>
      </c>
      <c r="D121" s="64" t="s">
        <v>8</v>
      </c>
      <c r="E121" s="64">
        <v>41871</v>
      </c>
      <c r="F121" s="67" t="s">
        <v>21</v>
      </c>
      <c r="G121" s="439"/>
      <c r="H121" s="79"/>
      <c r="I121" s="65">
        <v>113634</v>
      </c>
      <c r="J121" s="66" t="s">
        <v>140</v>
      </c>
      <c r="K121" s="66" t="s">
        <v>34</v>
      </c>
      <c r="L121" s="90" t="str">
        <f>IF(AND('331-CT'!$E$7=TH!H121,OR(J121="331",K121="331")),"x","")</f>
        <v/>
      </c>
      <c r="M121" s="90" t="str">
        <f>IF(AND($B121&gt;='1111'!$N$10,$B121&lt;='1111'!$O$10,OR($J121=$M$7,$K121=$M$7)),"x","")</f>
        <v/>
      </c>
      <c r="N121" s="90" t="str">
        <f>IF(AND($J121=$M$7,$B121&lt;'1111'!$N$10),"x","")</f>
        <v/>
      </c>
      <c r="O121" s="90" t="str">
        <f>IF(AND($K121=$M$7,$B121&lt;'1111'!$N$10),"x","")</f>
        <v/>
      </c>
      <c r="P121" s="90" t="str">
        <f>IF(AND($B121&gt;='1121'!$N$9,$B121&lt;='1121'!$O$9,OR($J121=$P$7,$K121=$P$7)),"x","")</f>
        <v/>
      </c>
      <c r="Q121" s="90" t="str">
        <f>IF(AND($J121=$P$7,$B121&lt;'1121'!$N$9),"x","")</f>
        <v/>
      </c>
      <c r="R121" s="90" t="str">
        <f>IF(AND($K121=$P$7,$B121&lt;'1121'!$N$9),"x","")</f>
        <v>x</v>
      </c>
      <c r="S121" s="90" t="str">
        <f>IF(AND($B121&gt;='1331'!$I$9,$B121&lt;='1331'!$J$9,OR($J121=$S$7,$K121=$S$7)),"x","")</f>
        <v/>
      </c>
      <c r="T121" s="90" t="str">
        <f>IF(AND($J121=$S$7,$B121&lt;'1331'!$I$9),"x","")</f>
        <v/>
      </c>
      <c r="U121" s="90" t="str">
        <f>IF(AND($K121=$S$7,$B121&lt;'1331'!$I$9),"x","")</f>
        <v/>
      </c>
      <c r="V121" s="90" t="str">
        <f>IF(AND('3411-CT'!$E$9=TH!H121,OR(TH!J121=TH!$V$7,K121=TH!$V$7)),"x","")</f>
        <v/>
      </c>
      <c r="W121" s="90" t="str">
        <f>IF(OR(TH!J121=TH!$W$7,K121=TH!$W$7),"x","")</f>
        <v/>
      </c>
      <c r="X121" s="90" t="str">
        <f t="shared" si="5"/>
        <v>3</v>
      </c>
    </row>
    <row r="122" spans="1:24" s="77" customFormat="1" ht="15.75" customHeight="1">
      <c r="A122" s="158" t="str">
        <f>IF(B122&lt;&gt;"",IF(AND(B122&gt;=_TM1,B122&lt;=_TM2,OR(TH!J122="1111",TH!K122="1111")),TH!D122,""),"")</f>
        <v/>
      </c>
      <c r="B122" s="63">
        <f t="shared" si="4"/>
        <v>8</v>
      </c>
      <c r="C122" s="64">
        <v>41871</v>
      </c>
      <c r="D122" s="64" t="s">
        <v>8</v>
      </c>
      <c r="E122" s="64">
        <v>41871</v>
      </c>
      <c r="F122" s="67" t="s">
        <v>22</v>
      </c>
      <c r="G122" s="439"/>
      <c r="H122" s="79"/>
      <c r="I122" s="65">
        <v>11363</v>
      </c>
      <c r="J122" s="66" t="s">
        <v>10</v>
      </c>
      <c r="K122" s="66" t="s">
        <v>34</v>
      </c>
      <c r="L122" s="90" t="str">
        <f>IF(AND('331-CT'!$E$7=TH!H122,OR(J122="331",K122="331")),"x","")</f>
        <v/>
      </c>
      <c r="M122" s="90" t="str">
        <f>IF(AND($B122&gt;='1111'!$N$10,$B122&lt;='1111'!$O$10,OR($J122=$M$7,$K122=$M$7)),"x","")</f>
        <v/>
      </c>
      <c r="N122" s="90" t="str">
        <f>IF(AND($J122=$M$7,$B122&lt;'1111'!$N$10),"x","")</f>
        <v/>
      </c>
      <c r="O122" s="90" t="str">
        <f>IF(AND($K122=$M$7,$B122&lt;'1111'!$N$10),"x","")</f>
        <v/>
      </c>
      <c r="P122" s="90" t="str">
        <f>IF(AND($B122&gt;='1121'!$N$9,$B122&lt;='1121'!$O$9,OR($J122=$P$7,$K122=$P$7)),"x","")</f>
        <v/>
      </c>
      <c r="Q122" s="90" t="str">
        <f>IF(AND($J122=$P$7,$B122&lt;'1121'!$N$9),"x","")</f>
        <v/>
      </c>
      <c r="R122" s="90" t="str">
        <f>IF(AND($K122=$P$7,$B122&lt;'1121'!$N$9),"x","")</f>
        <v>x</v>
      </c>
      <c r="S122" s="90" t="str">
        <f>IF(AND($B122&gt;='1331'!$I$9,$B122&lt;='1331'!$J$9,OR($J122=$S$7,$K122=$S$7)),"x","")</f>
        <v>x</v>
      </c>
      <c r="T122" s="90" t="str">
        <f>IF(AND($J122=$S$7,$B122&lt;'1331'!$I$9),"x","")</f>
        <v/>
      </c>
      <c r="U122" s="90" t="str">
        <f>IF(AND($K122=$S$7,$B122&lt;'1331'!$I$9),"x","")</f>
        <v/>
      </c>
      <c r="V122" s="90" t="str">
        <f>IF(AND('3411-CT'!$E$9=TH!H122,OR(TH!J122=TH!$V$7,K122=TH!$V$7)),"x","")</f>
        <v/>
      </c>
      <c r="W122" s="90" t="str">
        <f>IF(OR(TH!J122=TH!$W$7,K122=TH!$W$7),"x","")</f>
        <v/>
      </c>
      <c r="X122" s="90" t="str">
        <f t="shared" si="5"/>
        <v>3</v>
      </c>
    </row>
    <row r="123" spans="1:24" s="77" customFormat="1" ht="15.75" customHeight="1">
      <c r="A123" s="158" t="str">
        <f>IF(B123&lt;&gt;"",IF(AND(B123&gt;=_TM1,B123&lt;=_TM2,OR(TH!J123="1111",TH!K123="1111")),TH!D123,""),"")</f>
        <v/>
      </c>
      <c r="B123" s="63">
        <f t="shared" si="4"/>
        <v>8</v>
      </c>
      <c r="C123" s="64">
        <v>41871</v>
      </c>
      <c r="D123" s="64" t="s">
        <v>8</v>
      </c>
      <c r="E123" s="64">
        <v>41871</v>
      </c>
      <c r="F123" s="67" t="s">
        <v>302</v>
      </c>
      <c r="G123" s="439"/>
      <c r="H123" s="79"/>
      <c r="I123" s="65">
        <v>40000</v>
      </c>
      <c r="J123" s="66" t="s">
        <v>140</v>
      </c>
      <c r="K123" s="66" t="s">
        <v>34</v>
      </c>
      <c r="L123" s="90" t="str">
        <f>IF(AND('331-CT'!$E$7=TH!H123,OR(J123="331",K123="331")),"x","")</f>
        <v/>
      </c>
      <c r="M123" s="90" t="str">
        <f>IF(AND($B123&gt;='1111'!$N$10,$B123&lt;='1111'!$O$10,OR($J123=$M$7,$K123=$M$7)),"x","")</f>
        <v/>
      </c>
      <c r="N123" s="90" t="str">
        <f>IF(AND($J123=$M$7,$B123&lt;'1111'!$N$10),"x","")</f>
        <v/>
      </c>
      <c r="O123" s="90" t="str">
        <f>IF(AND($K123=$M$7,$B123&lt;'1111'!$N$10),"x","")</f>
        <v/>
      </c>
      <c r="P123" s="90" t="str">
        <f>IF(AND($B123&gt;='1121'!$N$9,$B123&lt;='1121'!$O$9,OR($J123=$P$7,$K123=$P$7)),"x","")</f>
        <v/>
      </c>
      <c r="Q123" s="90" t="str">
        <f>IF(AND($J123=$P$7,$B123&lt;'1121'!$N$9),"x","")</f>
        <v/>
      </c>
      <c r="R123" s="90" t="str">
        <f>IF(AND($K123=$P$7,$B123&lt;'1121'!$N$9),"x","")</f>
        <v>x</v>
      </c>
      <c r="S123" s="90" t="str">
        <f>IF(AND($B123&gt;='1331'!$I$9,$B123&lt;='1331'!$J$9,OR($J123=$S$7,$K123=$S$7)),"x","")</f>
        <v/>
      </c>
      <c r="T123" s="90" t="str">
        <f>IF(AND($J123=$S$7,$B123&lt;'1331'!$I$9),"x","")</f>
        <v/>
      </c>
      <c r="U123" s="90" t="str">
        <f>IF(AND($K123=$S$7,$B123&lt;'1331'!$I$9),"x","")</f>
        <v/>
      </c>
      <c r="V123" s="90" t="str">
        <f>IF(AND('3411-CT'!$E$9=TH!H123,OR(TH!J123=TH!$V$7,K123=TH!$V$7)),"x","")</f>
        <v/>
      </c>
      <c r="W123" s="90" t="str">
        <f>IF(OR(TH!J123=TH!$W$7,K123=TH!$W$7),"x","")</f>
        <v/>
      </c>
      <c r="X123" s="90" t="str">
        <f t="shared" si="5"/>
        <v>3</v>
      </c>
    </row>
    <row r="124" spans="1:24" s="77" customFormat="1" ht="15.75" customHeight="1">
      <c r="A124" s="158" t="str">
        <f>IF(B124&lt;&gt;"",IF(AND(B124&gt;=_TM1,B124&lt;=_TM2,OR(TH!J124="1111",TH!K124="1111")),TH!D124,""),"")</f>
        <v/>
      </c>
      <c r="B124" s="63">
        <f t="shared" si="4"/>
        <v>8</v>
      </c>
      <c r="C124" s="64">
        <v>41871</v>
      </c>
      <c r="D124" s="64" t="s">
        <v>8</v>
      </c>
      <c r="E124" s="64">
        <v>41871</v>
      </c>
      <c r="F124" s="67" t="s">
        <v>303</v>
      </c>
      <c r="G124" s="439"/>
      <c r="H124" s="79"/>
      <c r="I124" s="65">
        <v>4000</v>
      </c>
      <c r="J124" s="69" t="s">
        <v>10</v>
      </c>
      <c r="K124" s="66" t="s">
        <v>34</v>
      </c>
      <c r="L124" s="90" t="str">
        <f>IF(AND('331-CT'!$E$7=TH!H124,OR(J124="331",K124="331")),"x","")</f>
        <v/>
      </c>
      <c r="M124" s="90" t="str">
        <f>IF(AND($B124&gt;='1111'!$N$10,$B124&lt;='1111'!$O$10,OR($J124=$M$7,$K124=$M$7)),"x","")</f>
        <v/>
      </c>
      <c r="N124" s="90" t="str">
        <f>IF(AND($J124=$M$7,$B124&lt;'1111'!$N$10),"x","")</f>
        <v/>
      </c>
      <c r="O124" s="90" t="str">
        <f>IF(AND($K124=$M$7,$B124&lt;'1111'!$N$10),"x","")</f>
        <v/>
      </c>
      <c r="P124" s="90" t="str">
        <f>IF(AND($B124&gt;='1121'!$N$9,$B124&lt;='1121'!$O$9,OR($J124=$P$7,$K124=$P$7)),"x","")</f>
        <v/>
      </c>
      <c r="Q124" s="90" t="str">
        <f>IF(AND($J124=$P$7,$B124&lt;'1121'!$N$9),"x","")</f>
        <v/>
      </c>
      <c r="R124" s="90" t="str">
        <f>IF(AND($K124=$P$7,$B124&lt;'1121'!$N$9),"x","")</f>
        <v>x</v>
      </c>
      <c r="S124" s="90" t="str">
        <f>IF(AND($B124&gt;='1331'!$I$9,$B124&lt;='1331'!$J$9,OR($J124=$S$7,$K124=$S$7)),"x","")</f>
        <v>x</v>
      </c>
      <c r="T124" s="90" t="str">
        <f>IF(AND($J124=$S$7,$B124&lt;'1331'!$I$9),"x","")</f>
        <v/>
      </c>
      <c r="U124" s="90" t="str">
        <f>IF(AND($K124=$S$7,$B124&lt;'1331'!$I$9),"x","")</f>
        <v/>
      </c>
      <c r="V124" s="90" t="str">
        <f>IF(AND('3411-CT'!$E$9=TH!H124,OR(TH!J124=TH!$V$7,K124=TH!$V$7)),"x","")</f>
        <v/>
      </c>
      <c r="W124" s="90" t="str">
        <f>IF(OR(TH!J124=TH!$W$7,K124=TH!$W$7),"x","")</f>
        <v/>
      </c>
      <c r="X124" s="90" t="str">
        <f t="shared" si="5"/>
        <v>3</v>
      </c>
    </row>
    <row r="125" spans="1:24" s="77" customFormat="1" ht="15.75" customHeight="1">
      <c r="A125" s="158" t="str">
        <f>IF(B125&lt;&gt;"",IF(AND(B125&gt;=_TM1,B125&lt;=_TM2,OR(TH!J125="1111",TH!K125="1111")),TH!D125,""),"")</f>
        <v/>
      </c>
      <c r="B125" s="63">
        <f t="shared" si="4"/>
        <v>8</v>
      </c>
      <c r="C125" s="64">
        <v>41872</v>
      </c>
      <c r="D125" s="64" t="s">
        <v>49</v>
      </c>
      <c r="E125" s="64">
        <v>41872</v>
      </c>
      <c r="F125" s="67" t="s">
        <v>322</v>
      </c>
      <c r="G125" s="439" t="s">
        <v>323</v>
      </c>
      <c r="H125" s="80" t="s">
        <v>71</v>
      </c>
      <c r="I125" s="65">
        <v>72727273</v>
      </c>
      <c r="J125" s="66" t="s">
        <v>214</v>
      </c>
      <c r="K125" s="66" t="s">
        <v>9</v>
      </c>
      <c r="L125" s="90" t="str">
        <f>IF(AND('331-CT'!$E$7=TH!H125,OR(J125="331",K125="331")),"x","")</f>
        <v/>
      </c>
      <c r="M125" s="90" t="str">
        <f>IF(AND($B125&gt;='1111'!$N$10,$B125&lt;='1111'!$O$10,OR($J125=$M$7,$K125=$M$7)),"x","")</f>
        <v/>
      </c>
      <c r="N125" s="90" t="str">
        <f>IF(AND($J125=$M$7,$B125&lt;'1111'!$N$10),"x","")</f>
        <v/>
      </c>
      <c r="O125" s="90" t="str">
        <f>IF(AND($K125=$M$7,$B125&lt;'1111'!$N$10),"x","")</f>
        <v/>
      </c>
      <c r="P125" s="90" t="str">
        <f>IF(AND($B125&gt;='1121'!$N$9,$B125&lt;='1121'!$O$9,OR($J125=$P$7,$K125=$P$7)),"x","")</f>
        <v/>
      </c>
      <c r="Q125" s="90" t="str">
        <f>IF(AND($J125=$P$7,$B125&lt;'1121'!$N$9),"x","")</f>
        <v/>
      </c>
      <c r="R125" s="90" t="str">
        <f>IF(AND($K125=$P$7,$B125&lt;'1121'!$N$9),"x","")</f>
        <v/>
      </c>
      <c r="S125" s="90" t="str">
        <f>IF(AND($B125&gt;='1331'!$I$9,$B125&lt;='1331'!$J$9,OR($J125=$S$7,$K125=$S$7)),"x","")</f>
        <v/>
      </c>
      <c r="T125" s="90" t="str">
        <f>IF(AND($J125=$S$7,$B125&lt;'1331'!$I$9),"x","")</f>
        <v/>
      </c>
      <c r="U125" s="90" t="str">
        <f>IF(AND($K125=$S$7,$B125&lt;'1331'!$I$9),"x","")</f>
        <v/>
      </c>
      <c r="V125" s="90" t="str">
        <f>IF(AND('3411-CT'!$E$9=TH!H125,OR(TH!J125=TH!$V$7,K125=TH!$V$7)),"x","")</f>
        <v/>
      </c>
      <c r="W125" s="90" t="str">
        <f>IF(OR(TH!J125=TH!$W$7,K125=TH!$W$7),"x","")</f>
        <v/>
      </c>
      <c r="X125" s="90" t="str">
        <f t="shared" si="5"/>
        <v>3</v>
      </c>
    </row>
    <row r="126" spans="1:24" s="77" customFormat="1" ht="15.75" customHeight="1">
      <c r="A126" s="158" t="str">
        <f>IF(B126&lt;&gt;"",IF(AND(B126&gt;=_TM1,B126&lt;=_TM2,OR(TH!J126="1111",TH!K126="1111")),TH!D126,""),"")</f>
        <v/>
      </c>
      <c r="B126" s="63">
        <f t="shared" si="4"/>
        <v>8</v>
      </c>
      <c r="C126" s="64">
        <v>41872</v>
      </c>
      <c r="D126" s="64" t="s">
        <v>49</v>
      </c>
      <c r="E126" s="64">
        <v>41872</v>
      </c>
      <c r="F126" s="67" t="s">
        <v>324</v>
      </c>
      <c r="G126" s="439" t="s">
        <v>323</v>
      </c>
      <c r="H126" s="79" t="s">
        <v>71</v>
      </c>
      <c r="I126" s="65">
        <v>7272727</v>
      </c>
      <c r="J126" s="66" t="s">
        <v>10</v>
      </c>
      <c r="K126" s="66" t="s">
        <v>9</v>
      </c>
      <c r="L126" s="90" t="str">
        <f>IF(AND('331-CT'!$E$7=TH!H126,OR(J126="331",K126="331")),"x","")</f>
        <v/>
      </c>
      <c r="M126" s="90" t="str">
        <f>IF(AND($B126&gt;='1111'!$N$10,$B126&lt;='1111'!$O$10,OR($J126=$M$7,$K126=$M$7)),"x","")</f>
        <v/>
      </c>
      <c r="N126" s="90" t="str">
        <f>IF(AND($J126=$M$7,$B126&lt;'1111'!$N$10),"x","")</f>
        <v/>
      </c>
      <c r="O126" s="90" t="str">
        <f>IF(AND($K126=$M$7,$B126&lt;'1111'!$N$10),"x","")</f>
        <v/>
      </c>
      <c r="P126" s="90" t="str">
        <f>IF(AND($B126&gt;='1121'!$N$9,$B126&lt;='1121'!$O$9,OR($J126=$P$7,$K126=$P$7)),"x","")</f>
        <v/>
      </c>
      <c r="Q126" s="90" t="str">
        <f>IF(AND($J126=$P$7,$B126&lt;'1121'!$N$9),"x","")</f>
        <v/>
      </c>
      <c r="R126" s="90" t="str">
        <f>IF(AND($K126=$P$7,$B126&lt;'1121'!$N$9),"x","")</f>
        <v/>
      </c>
      <c r="S126" s="90" t="str">
        <f>IF(AND($B126&gt;='1331'!$I$9,$B126&lt;='1331'!$J$9,OR($J126=$S$7,$K126=$S$7)),"x","")</f>
        <v>x</v>
      </c>
      <c r="T126" s="90" t="str">
        <f>IF(AND($J126=$S$7,$B126&lt;'1331'!$I$9),"x","")</f>
        <v/>
      </c>
      <c r="U126" s="90" t="str">
        <f>IF(AND($K126=$S$7,$B126&lt;'1331'!$I$9),"x","")</f>
        <v/>
      </c>
      <c r="V126" s="90" t="str">
        <f>IF(AND('3411-CT'!$E$9=TH!H126,OR(TH!J126=TH!$V$7,K126=TH!$V$7)),"x","")</f>
        <v/>
      </c>
      <c r="W126" s="90" t="str">
        <f>IF(OR(TH!J126=TH!$W$7,K126=TH!$W$7),"x","")</f>
        <v/>
      </c>
      <c r="X126" s="90" t="str">
        <f t="shared" si="5"/>
        <v>3</v>
      </c>
    </row>
    <row r="127" spans="1:24" s="77" customFormat="1" ht="15.75" customHeight="1">
      <c r="A127" s="158" t="str">
        <f>IF(B127&lt;&gt;"",IF(AND(B127&gt;=_TM1,B127&lt;=_TM2,OR(TH!J127="1111",TH!K127="1111")),TH!D127,""),"")</f>
        <v/>
      </c>
      <c r="B127" s="63">
        <f t="shared" si="4"/>
        <v>8</v>
      </c>
      <c r="C127" s="64">
        <v>41876</v>
      </c>
      <c r="D127" s="64" t="s">
        <v>11</v>
      </c>
      <c r="E127" s="64">
        <v>41876</v>
      </c>
      <c r="F127" s="67" t="s">
        <v>66</v>
      </c>
      <c r="G127" s="439"/>
      <c r="H127" s="79"/>
      <c r="I127" s="65">
        <v>38769</v>
      </c>
      <c r="J127" s="66" t="s">
        <v>34</v>
      </c>
      <c r="K127" s="66" t="s">
        <v>67</v>
      </c>
      <c r="L127" s="90" t="str">
        <f>IF(AND('331-CT'!$E$7=TH!H127,OR(J127="331",K127="331")),"x","")</f>
        <v/>
      </c>
      <c r="M127" s="90" t="str">
        <f>IF(AND($B127&gt;='1111'!$N$10,$B127&lt;='1111'!$O$10,OR($J127=$M$7,$K127=$M$7)),"x","")</f>
        <v/>
      </c>
      <c r="N127" s="90" t="str">
        <f>IF(AND($J127=$M$7,$B127&lt;'1111'!$N$10),"x","")</f>
        <v/>
      </c>
      <c r="O127" s="90" t="str">
        <f>IF(AND($K127=$M$7,$B127&lt;'1111'!$N$10),"x","")</f>
        <v/>
      </c>
      <c r="P127" s="90" t="str">
        <f>IF(AND($B127&gt;='1121'!$N$9,$B127&lt;='1121'!$O$9,OR($J127=$P$7,$K127=$P$7)),"x","")</f>
        <v/>
      </c>
      <c r="Q127" s="90" t="str">
        <f>IF(AND($J127=$P$7,$B127&lt;'1121'!$N$9),"x","")</f>
        <v>x</v>
      </c>
      <c r="R127" s="90" t="str">
        <f>IF(AND($K127=$P$7,$B127&lt;'1121'!$N$9),"x","")</f>
        <v/>
      </c>
      <c r="S127" s="90" t="str">
        <f>IF(AND($B127&gt;='1331'!$I$9,$B127&lt;='1331'!$J$9,OR($J127=$S$7,$K127=$S$7)),"x","")</f>
        <v/>
      </c>
      <c r="T127" s="90" t="str">
        <f>IF(AND($J127=$S$7,$B127&lt;'1331'!$I$9),"x","")</f>
        <v/>
      </c>
      <c r="U127" s="90" t="str">
        <f>IF(AND($K127=$S$7,$B127&lt;'1331'!$I$9),"x","")</f>
        <v/>
      </c>
      <c r="V127" s="90" t="str">
        <f>IF(AND('3411-CT'!$E$9=TH!H127,OR(TH!J127=TH!$V$7,K127=TH!$V$7)),"x","")</f>
        <v/>
      </c>
      <c r="W127" s="90" t="str">
        <f>IF(OR(TH!J127=TH!$W$7,K127=TH!$W$7),"x","")</f>
        <v/>
      </c>
      <c r="X127" s="90" t="str">
        <f t="shared" si="5"/>
        <v>3</v>
      </c>
    </row>
    <row r="128" spans="1:24" s="77" customFormat="1" ht="15.75" customHeight="1">
      <c r="A128" s="158" t="str">
        <f>IF(B128&lt;&gt;"",IF(AND(B128&gt;=_TM1,B128&lt;=_TM2,OR(TH!J128="1111",TH!K128="1111")),TH!D128,""),"")</f>
        <v/>
      </c>
      <c r="B128" s="63">
        <f t="shared" si="4"/>
        <v>8</v>
      </c>
      <c r="C128" s="64">
        <v>41877</v>
      </c>
      <c r="D128" s="64" t="s">
        <v>49</v>
      </c>
      <c r="E128" s="64">
        <v>41877</v>
      </c>
      <c r="F128" s="154" t="s">
        <v>325</v>
      </c>
      <c r="G128" s="452" t="s">
        <v>326</v>
      </c>
      <c r="H128" s="80" t="s">
        <v>57</v>
      </c>
      <c r="I128" s="65">
        <v>1443034000</v>
      </c>
      <c r="J128" s="66" t="s">
        <v>214</v>
      </c>
      <c r="K128" s="66" t="s">
        <v>9</v>
      </c>
      <c r="L128" s="90" t="str">
        <f>IF(AND('331-CT'!$E$7=TH!H128,OR(J128="331",K128="331")),"x","")</f>
        <v/>
      </c>
      <c r="M128" s="90" t="str">
        <f>IF(AND($B128&gt;='1111'!$N$10,$B128&lt;='1111'!$O$10,OR($J128=$M$7,$K128=$M$7)),"x","")</f>
        <v/>
      </c>
      <c r="N128" s="90" t="str">
        <f>IF(AND($J128=$M$7,$B128&lt;'1111'!$N$10),"x","")</f>
        <v/>
      </c>
      <c r="O128" s="90" t="str">
        <f>IF(AND($K128=$M$7,$B128&lt;'1111'!$N$10),"x","")</f>
        <v/>
      </c>
      <c r="P128" s="90" t="str">
        <f>IF(AND($B128&gt;='1121'!$N$9,$B128&lt;='1121'!$O$9,OR($J128=$P$7,$K128=$P$7)),"x","")</f>
        <v/>
      </c>
      <c r="Q128" s="90" t="str">
        <f>IF(AND($J128=$P$7,$B128&lt;'1121'!$N$9),"x","")</f>
        <v/>
      </c>
      <c r="R128" s="90" t="str">
        <f>IF(AND($K128=$P$7,$B128&lt;'1121'!$N$9),"x","")</f>
        <v/>
      </c>
      <c r="S128" s="90" t="str">
        <f>IF(AND($B128&gt;='1331'!$I$9,$B128&lt;='1331'!$J$9,OR($J128=$S$7,$K128=$S$7)),"x","")</f>
        <v/>
      </c>
      <c r="T128" s="90" t="str">
        <f>IF(AND($J128=$S$7,$B128&lt;'1331'!$I$9),"x","")</f>
        <v/>
      </c>
      <c r="U128" s="90" t="str">
        <f>IF(AND($K128=$S$7,$B128&lt;'1331'!$I$9),"x","")</f>
        <v/>
      </c>
      <c r="V128" s="90" t="str">
        <f>IF(AND('3411-CT'!$E$9=TH!H128,OR(TH!J128=TH!$V$7,K128=TH!$V$7)),"x","")</f>
        <v/>
      </c>
      <c r="W128" s="90" t="str">
        <f>IF(OR(TH!J128=TH!$W$7,K128=TH!$W$7),"x","")</f>
        <v/>
      </c>
      <c r="X128" s="90" t="str">
        <f t="shared" si="5"/>
        <v>3</v>
      </c>
    </row>
    <row r="129" spans="1:24" s="77" customFormat="1" ht="15.75" customHeight="1">
      <c r="A129" s="158" t="str">
        <f>IF(B129&lt;&gt;"",IF(AND(B129&gt;=_TM1,B129&lt;=_TM2,OR(TH!J129="1111",TH!K129="1111")),TH!D129,""),"")</f>
        <v/>
      </c>
      <c r="B129" s="63">
        <f t="shared" si="4"/>
        <v>8</v>
      </c>
      <c r="C129" s="64">
        <v>41877</v>
      </c>
      <c r="D129" s="64" t="s">
        <v>49</v>
      </c>
      <c r="E129" s="64">
        <v>41877</v>
      </c>
      <c r="F129" s="67" t="s">
        <v>327</v>
      </c>
      <c r="G129" s="439" t="s">
        <v>326</v>
      </c>
      <c r="H129" s="79" t="s">
        <v>57</v>
      </c>
      <c r="I129" s="65">
        <v>144303400</v>
      </c>
      <c r="J129" s="66" t="s">
        <v>10</v>
      </c>
      <c r="K129" s="66" t="s">
        <v>9</v>
      </c>
      <c r="L129" s="90" t="str">
        <f>IF(AND('331-CT'!$E$7=TH!H129,OR(J129="331",K129="331")),"x","")</f>
        <v/>
      </c>
      <c r="M129" s="90" t="str">
        <f>IF(AND($B129&gt;='1111'!$N$10,$B129&lt;='1111'!$O$10,OR($J129=$M$7,$K129=$M$7)),"x","")</f>
        <v/>
      </c>
      <c r="N129" s="90" t="str">
        <f>IF(AND($J129=$M$7,$B129&lt;'1111'!$N$10),"x","")</f>
        <v/>
      </c>
      <c r="O129" s="90" t="str">
        <f>IF(AND($K129=$M$7,$B129&lt;'1111'!$N$10),"x","")</f>
        <v/>
      </c>
      <c r="P129" s="90" t="str">
        <f>IF(AND($B129&gt;='1121'!$N$9,$B129&lt;='1121'!$O$9,OR($J129=$P$7,$K129=$P$7)),"x","")</f>
        <v/>
      </c>
      <c r="Q129" s="90" t="str">
        <f>IF(AND($J129=$P$7,$B129&lt;'1121'!$N$9),"x","")</f>
        <v/>
      </c>
      <c r="R129" s="90" t="str">
        <f>IF(AND($K129=$P$7,$B129&lt;'1121'!$N$9),"x","")</f>
        <v/>
      </c>
      <c r="S129" s="90" t="str">
        <f>IF(AND($B129&gt;='1331'!$I$9,$B129&lt;='1331'!$J$9,OR($J129=$S$7,$K129=$S$7)),"x","")</f>
        <v>x</v>
      </c>
      <c r="T129" s="90" t="str">
        <f>IF(AND($J129=$S$7,$B129&lt;'1331'!$I$9),"x","")</f>
        <v/>
      </c>
      <c r="U129" s="90" t="str">
        <f>IF(AND($K129=$S$7,$B129&lt;'1331'!$I$9),"x","")</f>
        <v/>
      </c>
      <c r="V129" s="90" t="str">
        <f>IF(AND('3411-CT'!$E$9=TH!H129,OR(TH!J129=TH!$V$7,K129=TH!$V$7)),"x","")</f>
        <v/>
      </c>
      <c r="W129" s="90" t="str">
        <f>IF(OR(TH!J129=TH!$W$7,K129=TH!$W$7),"x","")</f>
        <v/>
      </c>
      <c r="X129" s="90" t="str">
        <f t="shared" si="5"/>
        <v>3</v>
      </c>
    </row>
    <row r="130" spans="1:24" s="77" customFormat="1" ht="15.75" customHeight="1">
      <c r="A130" s="158" t="str">
        <f>IF(B130&lt;&gt;"",IF(AND(B130&gt;=_TM1,B130&lt;=_TM2,OR(TH!J130="1111",TH!K130="1111")),TH!D130,""),"")</f>
        <v/>
      </c>
      <c r="B130" s="63">
        <f t="shared" si="4"/>
        <v>9</v>
      </c>
      <c r="C130" s="64">
        <v>41894</v>
      </c>
      <c r="D130" s="64" t="s">
        <v>8</v>
      </c>
      <c r="E130" s="64">
        <v>41894</v>
      </c>
      <c r="F130" s="67" t="s">
        <v>312</v>
      </c>
      <c r="G130" s="439"/>
      <c r="H130" s="79" t="s">
        <v>59</v>
      </c>
      <c r="I130" s="65">
        <v>50000000</v>
      </c>
      <c r="J130" s="66" t="s">
        <v>9</v>
      </c>
      <c r="K130" s="66" t="s">
        <v>34</v>
      </c>
      <c r="L130" s="90" t="str">
        <f>IF(AND('331-CT'!$E$7=TH!H130,OR(J130="331",K130="331")),"x","")</f>
        <v/>
      </c>
      <c r="M130" s="90" t="str">
        <f>IF(AND($B130&gt;='1111'!$N$10,$B130&lt;='1111'!$O$10,OR($J130=$M$7,$K130=$M$7)),"x","")</f>
        <v/>
      </c>
      <c r="N130" s="90" t="str">
        <f>IF(AND($J130=$M$7,$B130&lt;'1111'!$N$10),"x","")</f>
        <v/>
      </c>
      <c r="O130" s="90" t="str">
        <f>IF(AND($K130=$M$7,$B130&lt;'1111'!$N$10),"x","")</f>
        <v/>
      </c>
      <c r="P130" s="90" t="str">
        <f>IF(AND($B130&gt;='1121'!$N$9,$B130&lt;='1121'!$O$9,OR($J130=$P$7,$K130=$P$7)),"x","")</f>
        <v/>
      </c>
      <c r="Q130" s="90" t="str">
        <f>IF(AND($J130=$P$7,$B130&lt;'1121'!$N$9),"x","")</f>
        <v/>
      </c>
      <c r="R130" s="90" t="str">
        <f>IF(AND($K130=$P$7,$B130&lt;'1121'!$N$9),"x","")</f>
        <v>x</v>
      </c>
      <c r="S130" s="90" t="str">
        <f>IF(AND($B130&gt;='1331'!$I$9,$B130&lt;='1331'!$J$9,OR($J130=$S$7,$K130=$S$7)),"x","")</f>
        <v/>
      </c>
      <c r="T130" s="90" t="str">
        <f>IF(AND($J130=$S$7,$B130&lt;'1331'!$I$9),"x","")</f>
        <v/>
      </c>
      <c r="U130" s="90" t="str">
        <f>IF(AND($K130=$S$7,$B130&lt;'1331'!$I$9),"x","")</f>
        <v/>
      </c>
      <c r="V130" s="90" t="str">
        <f>IF(AND('3411-CT'!$E$9=TH!H130,OR(TH!J130=TH!$V$7,K130=TH!$V$7)),"x","")</f>
        <v/>
      </c>
      <c r="W130" s="90" t="str">
        <f>IF(OR(TH!J130=TH!$W$7,K130=TH!$W$7),"x","")</f>
        <v/>
      </c>
      <c r="X130" s="90" t="str">
        <f t="shared" si="5"/>
        <v>3</v>
      </c>
    </row>
    <row r="131" spans="1:24" s="77" customFormat="1" ht="15.75" customHeight="1">
      <c r="A131" s="158" t="str">
        <f>IF(B131&lt;&gt;"",IF(AND(B131&gt;=_TM1,B131&lt;=_TM2,OR(TH!J131="1111",TH!K131="1111")),TH!D131,""),"")</f>
        <v/>
      </c>
      <c r="B131" s="63">
        <f t="shared" si="4"/>
        <v>9</v>
      </c>
      <c r="C131" s="64">
        <v>41894</v>
      </c>
      <c r="D131" s="64" t="s">
        <v>8</v>
      </c>
      <c r="E131" s="64">
        <v>41894</v>
      </c>
      <c r="F131" s="67" t="s">
        <v>21</v>
      </c>
      <c r="G131" s="439"/>
      <c r="H131" s="79"/>
      <c r="I131" s="65">
        <v>25000</v>
      </c>
      <c r="J131" s="66" t="s">
        <v>140</v>
      </c>
      <c r="K131" s="66" t="s">
        <v>34</v>
      </c>
      <c r="L131" s="90" t="str">
        <f>IF(AND('331-CT'!$E$7=TH!H131,OR(J131="331",K131="331")),"x","")</f>
        <v/>
      </c>
      <c r="M131" s="90" t="str">
        <f>IF(AND($B131&gt;='1111'!$N$10,$B131&lt;='1111'!$O$10,OR($J131=$M$7,$K131=$M$7)),"x","")</f>
        <v/>
      </c>
      <c r="N131" s="90" t="str">
        <f>IF(AND($J131=$M$7,$B131&lt;'1111'!$N$10),"x","")</f>
        <v/>
      </c>
      <c r="O131" s="90" t="str">
        <f>IF(AND($K131=$M$7,$B131&lt;'1111'!$N$10),"x","")</f>
        <v/>
      </c>
      <c r="P131" s="90" t="str">
        <f>IF(AND($B131&gt;='1121'!$N$9,$B131&lt;='1121'!$O$9,OR($J131=$P$7,$K131=$P$7)),"x","")</f>
        <v/>
      </c>
      <c r="Q131" s="90" t="str">
        <f>IF(AND($J131=$P$7,$B131&lt;'1121'!$N$9),"x","")</f>
        <v/>
      </c>
      <c r="R131" s="90" t="str">
        <f>IF(AND($K131=$P$7,$B131&lt;'1121'!$N$9),"x","")</f>
        <v>x</v>
      </c>
      <c r="S131" s="90" t="str">
        <f>IF(AND($B131&gt;='1331'!$I$9,$B131&lt;='1331'!$J$9,OR($J131=$S$7,$K131=$S$7)),"x","")</f>
        <v/>
      </c>
      <c r="T131" s="90" t="str">
        <f>IF(AND($J131=$S$7,$B131&lt;'1331'!$I$9),"x","")</f>
        <v/>
      </c>
      <c r="U131" s="90" t="str">
        <f>IF(AND($K131=$S$7,$B131&lt;'1331'!$I$9),"x","")</f>
        <v/>
      </c>
      <c r="V131" s="90" t="str">
        <f>IF(AND('3411-CT'!$E$9=TH!H131,OR(TH!J131=TH!$V$7,K131=TH!$V$7)),"x","")</f>
        <v/>
      </c>
      <c r="W131" s="90" t="str">
        <f>IF(OR(TH!J131=TH!$W$7,K131=TH!$W$7),"x","")</f>
        <v/>
      </c>
      <c r="X131" s="90" t="str">
        <f t="shared" si="5"/>
        <v>3</v>
      </c>
    </row>
    <row r="132" spans="1:24" s="77" customFormat="1" ht="15.75" customHeight="1">
      <c r="A132" s="158" t="str">
        <f>IF(B132&lt;&gt;"",IF(AND(B132&gt;=_TM1,B132&lt;=_TM2,OR(TH!J132="1111",TH!K132="1111")),TH!D132,""),"")</f>
        <v/>
      </c>
      <c r="B132" s="63">
        <f t="shared" si="4"/>
        <v>9</v>
      </c>
      <c r="C132" s="64">
        <v>41894</v>
      </c>
      <c r="D132" s="64" t="s">
        <v>8</v>
      </c>
      <c r="E132" s="64">
        <v>41894</v>
      </c>
      <c r="F132" s="67" t="s">
        <v>22</v>
      </c>
      <c r="G132" s="439"/>
      <c r="H132" s="79"/>
      <c r="I132" s="65">
        <v>2500</v>
      </c>
      <c r="J132" s="66" t="s">
        <v>10</v>
      </c>
      <c r="K132" s="66" t="s">
        <v>34</v>
      </c>
      <c r="L132" s="90" t="str">
        <f>IF(AND('331-CT'!$E$7=TH!H132,OR(J132="331",K132="331")),"x","")</f>
        <v/>
      </c>
      <c r="M132" s="90" t="str">
        <f>IF(AND($B132&gt;='1111'!$N$10,$B132&lt;='1111'!$O$10,OR($J132=$M$7,$K132=$M$7)),"x","")</f>
        <v/>
      </c>
      <c r="N132" s="90" t="str">
        <f>IF(AND($J132=$M$7,$B132&lt;'1111'!$N$10),"x","")</f>
        <v/>
      </c>
      <c r="O132" s="90" t="str">
        <f>IF(AND($K132=$M$7,$B132&lt;'1111'!$N$10),"x","")</f>
        <v/>
      </c>
      <c r="P132" s="90" t="str">
        <f>IF(AND($B132&gt;='1121'!$N$9,$B132&lt;='1121'!$O$9,OR($J132=$P$7,$K132=$P$7)),"x","")</f>
        <v/>
      </c>
      <c r="Q132" s="90" t="str">
        <f>IF(AND($J132=$P$7,$B132&lt;'1121'!$N$9),"x","")</f>
        <v/>
      </c>
      <c r="R132" s="90" t="str">
        <f>IF(AND($K132=$P$7,$B132&lt;'1121'!$N$9),"x","")</f>
        <v>x</v>
      </c>
      <c r="S132" s="90" t="str">
        <f>IF(AND($B132&gt;='1331'!$I$9,$B132&lt;='1331'!$J$9,OR($J132=$S$7,$K132=$S$7)),"x","")</f>
        <v>x</v>
      </c>
      <c r="T132" s="90" t="str">
        <f>IF(AND($J132=$S$7,$B132&lt;'1331'!$I$9),"x","")</f>
        <v/>
      </c>
      <c r="U132" s="90" t="str">
        <f>IF(AND($K132=$S$7,$B132&lt;'1331'!$I$9),"x","")</f>
        <v/>
      </c>
      <c r="V132" s="90" t="str">
        <f>IF(AND('3411-CT'!$E$9=TH!H132,OR(TH!J132=TH!$V$7,K132=TH!$V$7)),"x","")</f>
        <v/>
      </c>
      <c r="W132" s="90" t="str">
        <f>IF(OR(TH!J132=TH!$W$7,K132=TH!$W$7),"x","")</f>
        <v/>
      </c>
      <c r="X132" s="90" t="str">
        <f t="shared" si="5"/>
        <v>3</v>
      </c>
    </row>
    <row r="133" spans="1:24" s="77" customFormat="1" ht="15.75" customHeight="1">
      <c r="A133" s="158" t="str">
        <f>IF(B133&lt;&gt;"",IF(AND(B133&gt;=_TM1,B133&lt;=_TM2,OR(TH!J133="1111",TH!K133="1111")),TH!D133,""),"")</f>
        <v/>
      </c>
      <c r="B133" s="63">
        <f t="shared" si="4"/>
        <v>9</v>
      </c>
      <c r="C133" s="64">
        <v>41905</v>
      </c>
      <c r="D133" s="64" t="s">
        <v>84</v>
      </c>
      <c r="E133" s="64">
        <v>41905</v>
      </c>
      <c r="F133" s="67" t="s">
        <v>192</v>
      </c>
      <c r="G133" s="439"/>
      <c r="H133" s="79" t="s">
        <v>164</v>
      </c>
      <c r="I133" s="65">
        <v>9000000</v>
      </c>
      <c r="J133" s="66" t="s">
        <v>23</v>
      </c>
      <c r="K133" s="66" t="s">
        <v>101</v>
      </c>
      <c r="L133" s="90" t="str">
        <f>IF(AND('331-CT'!$E$7=TH!H133,OR(J133="331",K133="331")),"x","")</f>
        <v/>
      </c>
      <c r="M133" s="90" t="str">
        <f>IF(AND($B133&gt;='1111'!$N$10,$B133&lt;='1111'!$O$10,OR($J133=$M$7,$K133=$M$7)),"x","")</f>
        <v>x</v>
      </c>
      <c r="N133" s="90" t="str">
        <f>IF(AND($J133=$M$7,$B133&lt;'1111'!$N$10),"x","")</f>
        <v/>
      </c>
      <c r="O133" s="90" t="str">
        <f>IF(AND($K133=$M$7,$B133&lt;'1111'!$N$10),"x","")</f>
        <v/>
      </c>
      <c r="P133" s="90" t="str">
        <f>IF(AND($B133&gt;='1121'!$N$9,$B133&lt;='1121'!$O$9,OR($J133=$P$7,$K133=$P$7)),"x","")</f>
        <v/>
      </c>
      <c r="Q133" s="90" t="str">
        <f>IF(AND($J133=$P$7,$B133&lt;'1121'!$N$9),"x","")</f>
        <v/>
      </c>
      <c r="R133" s="90" t="str">
        <f>IF(AND($K133=$P$7,$B133&lt;'1121'!$N$9),"x","")</f>
        <v/>
      </c>
      <c r="S133" s="90" t="str">
        <f>IF(AND($B133&gt;='1331'!$I$9,$B133&lt;='1331'!$J$9,OR($J133=$S$7,$K133=$S$7)),"x","")</f>
        <v/>
      </c>
      <c r="T133" s="90" t="str">
        <f>IF(AND($J133=$S$7,$B133&lt;'1331'!$I$9),"x","")</f>
        <v/>
      </c>
      <c r="U133" s="90" t="str">
        <f>IF(AND($K133=$S$7,$B133&lt;'1331'!$I$9),"x","")</f>
        <v/>
      </c>
      <c r="V133" s="90" t="str">
        <f>IF(AND('3411-CT'!$E$9=TH!H133,OR(TH!J133=TH!$V$7,K133=TH!$V$7)),"x","")</f>
        <v/>
      </c>
      <c r="W133" s="90" t="str">
        <f>IF(OR(TH!J133=TH!$W$7,K133=TH!$W$7),"x","")</f>
        <v/>
      </c>
      <c r="X133" s="90" t="str">
        <f t="shared" si="5"/>
        <v>3</v>
      </c>
    </row>
    <row r="134" spans="1:24" s="77" customFormat="1" ht="15.75" customHeight="1">
      <c r="A134" s="158" t="str">
        <f>IF(B134&lt;&gt;"",IF(AND(B134&gt;=_TM1,B134&lt;=_TM2,OR(TH!J134="1111",TH!K134="1111")),TH!D134,""),"")</f>
        <v/>
      </c>
      <c r="B134" s="63">
        <f t="shared" si="4"/>
        <v>9</v>
      </c>
      <c r="C134" s="64">
        <v>41905</v>
      </c>
      <c r="D134" s="64" t="s">
        <v>11</v>
      </c>
      <c r="E134" s="64">
        <v>41905</v>
      </c>
      <c r="F134" s="67" t="s">
        <v>27</v>
      </c>
      <c r="G134" s="439"/>
      <c r="H134" s="79" t="s">
        <v>164</v>
      </c>
      <c r="I134" s="65">
        <v>9000000</v>
      </c>
      <c r="J134" s="66" t="s">
        <v>34</v>
      </c>
      <c r="K134" s="66" t="s">
        <v>23</v>
      </c>
      <c r="L134" s="90" t="str">
        <f>IF(AND('331-CT'!$E$7=TH!H134,OR(J134="331",K134="331")),"x","")</f>
        <v/>
      </c>
      <c r="M134" s="90" t="str">
        <f>IF(AND($B134&gt;='1111'!$N$10,$B134&lt;='1111'!$O$10,OR($J134=$M$7,$K134=$M$7)),"x","")</f>
        <v/>
      </c>
      <c r="N134" s="90" t="str">
        <f>IF(AND($J134=$M$7,$B134&lt;'1111'!$N$10),"x","")</f>
        <v/>
      </c>
      <c r="O134" s="90" t="str">
        <f>IF(AND($K134=$M$7,$B134&lt;'1111'!$N$10),"x","")</f>
        <v/>
      </c>
      <c r="P134" s="90" t="str">
        <f>IF(AND($B134&gt;='1121'!$N$9,$B134&lt;='1121'!$O$9,OR($J134=$P$7,$K134=$P$7)),"x","")</f>
        <v/>
      </c>
      <c r="Q134" s="90" t="str">
        <f>IF(AND($J134=$P$7,$B134&lt;'1121'!$N$9),"x","")</f>
        <v>x</v>
      </c>
      <c r="R134" s="90" t="str">
        <f>IF(AND($K134=$P$7,$B134&lt;'1121'!$N$9),"x","")</f>
        <v/>
      </c>
      <c r="S134" s="90" t="str">
        <f>IF(AND($B134&gt;='1331'!$I$9,$B134&lt;='1331'!$J$9,OR($J134=$S$7,$K134=$S$7)),"x","")</f>
        <v/>
      </c>
      <c r="T134" s="90" t="str">
        <f>IF(AND($J134=$S$7,$B134&lt;'1331'!$I$9),"x","")</f>
        <v/>
      </c>
      <c r="U134" s="90" t="str">
        <f>IF(AND($K134=$S$7,$B134&lt;'1331'!$I$9),"x","")</f>
        <v/>
      </c>
      <c r="V134" s="90" t="str">
        <f>IF(AND('3411-CT'!$E$9=TH!H134,OR(TH!J134=TH!$V$7,K134=TH!$V$7)),"x","")</f>
        <v/>
      </c>
      <c r="W134" s="90" t="str">
        <f>IF(OR(TH!J134=TH!$W$7,K134=TH!$W$7),"x","")</f>
        <v/>
      </c>
      <c r="X134" s="90" t="str">
        <f t="shared" si="5"/>
        <v>3</v>
      </c>
    </row>
    <row r="135" spans="1:24" s="77" customFormat="1" ht="15.75" customHeight="1">
      <c r="A135" s="158" t="str">
        <f>IF(B135&lt;&gt;"",IF(AND(B135&gt;=_TM1,B135&lt;=_TM2,OR(TH!J135="1111",TH!K135="1111")),TH!D135,""),"")</f>
        <v/>
      </c>
      <c r="B135" s="63">
        <f t="shared" si="4"/>
        <v>9</v>
      </c>
      <c r="C135" s="64">
        <v>41905</v>
      </c>
      <c r="D135" s="64" t="s">
        <v>8</v>
      </c>
      <c r="E135" s="64">
        <v>41905</v>
      </c>
      <c r="F135" s="155" t="s">
        <v>76</v>
      </c>
      <c r="G135" s="160"/>
      <c r="H135" s="7" t="s">
        <v>166</v>
      </c>
      <c r="I135" s="65">
        <v>8625463</v>
      </c>
      <c r="J135" s="66" t="s">
        <v>138</v>
      </c>
      <c r="K135" s="66" t="s">
        <v>34</v>
      </c>
      <c r="L135" s="90" t="str">
        <f>IF(AND('331-CT'!$E$7=TH!H135,OR(J135="331",K135="331")),"x","")</f>
        <v/>
      </c>
      <c r="M135" s="90" t="str">
        <f>IF(AND($B135&gt;='1111'!$N$10,$B135&lt;='1111'!$O$10,OR($J135=$M$7,$K135=$M$7)),"x","")</f>
        <v/>
      </c>
      <c r="N135" s="90" t="str">
        <f>IF(AND($J135=$M$7,$B135&lt;'1111'!$N$10),"x","")</f>
        <v/>
      </c>
      <c r="O135" s="90" t="str">
        <f>IF(AND($K135=$M$7,$B135&lt;'1111'!$N$10),"x","")</f>
        <v/>
      </c>
      <c r="P135" s="90" t="str">
        <f>IF(AND($B135&gt;='1121'!$N$9,$B135&lt;='1121'!$O$9,OR($J135=$P$7,$K135=$P$7)),"x","")</f>
        <v/>
      </c>
      <c r="Q135" s="90" t="str">
        <f>IF(AND($J135=$P$7,$B135&lt;'1121'!$N$9),"x","")</f>
        <v/>
      </c>
      <c r="R135" s="90" t="str">
        <f>IF(AND($K135=$P$7,$B135&lt;'1121'!$N$9),"x","")</f>
        <v>x</v>
      </c>
      <c r="S135" s="90" t="str">
        <f>IF(AND($B135&gt;='1331'!$I$9,$B135&lt;='1331'!$J$9,OR($J135=$S$7,$K135=$S$7)),"x","")</f>
        <v/>
      </c>
      <c r="T135" s="90" t="str">
        <f>IF(AND($J135=$S$7,$B135&lt;'1331'!$I$9),"x","")</f>
        <v/>
      </c>
      <c r="U135" s="90" t="str">
        <f>IF(AND($K135=$S$7,$B135&lt;'1331'!$I$9),"x","")</f>
        <v/>
      </c>
      <c r="V135" s="90" t="str">
        <f>IF(AND('3411-CT'!$E$9=TH!H135,OR(TH!J135=TH!$V$7,K135=TH!$V$7)),"x","")</f>
        <v/>
      </c>
      <c r="W135" s="90" t="str">
        <f>IF(OR(TH!J135=TH!$W$7,K135=TH!$W$7),"x","")</f>
        <v/>
      </c>
      <c r="X135" s="90" t="str">
        <f t="shared" si="5"/>
        <v>3</v>
      </c>
    </row>
    <row r="136" spans="1:24" s="77" customFormat="1" ht="15.75" customHeight="1">
      <c r="A136" s="158" t="str">
        <f>IF(B136&lt;&gt;"",IF(AND(B136&gt;=_TM1,B136&lt;=_TM2,OR(TH!J136="1111",TH!K136="1111")),TH!D136,""),"")</f>
        <v/>
      </c>
      <c r="B136" s="63">
        <f t="shared" si="4"/>
        <v>9</v>
      </c>
      <c r="C136" s="64">
        <v>41905</v>
      </c>
      <c r="D136" s="64" t="s">
        <v>8</v>
      </c>
      <c r="E136" s="64">
        <v>41905</v>
      </c>
      <c r="F136" s="67" t="s">
        <v>75</v>
      </c>
      <c r="G136" s="439"/>
      <c r="H136" s="79" t="s">
        <v>74</v>
      </c>
      <c r="I136" s="65">
        <v>752610000</v>
      </c>
      <c r="J136" s="66" t="s">
        <v>9</v>
      </c>
      <c r="K136" s="66" t="s">
        <v>34</v>
      </c>
      <c r="L136" s="90" t="str">
        <f>IF(AND('331-CT'!$E$7=TH!H136,OR(J136="331",K136="331")),"x","")</f>
        <v/>
      </c>
      <c r="M136" s="90" t="str">
        <f>IF(AND($B136&gt;='1111'!$N$10,$B136&lt;='1111'!$O$10,OR($J136=$M$7,$K136=$M$7)),"x","")</f>
        <v/>
      </c>
      <c r="N136" s="90" t="str">
        <f>IF(AND($J136=$M$7,$B136&lt;'1111'!$N$10),"x","")</f>
        <v/>
      </c>
      <c r="O136" s="90" t="str">
        <f>IF(AND($K136=$M$7,$B136&lt;'1111'!$N$10),"x","")</f>
        <v/>
      </c>
      <c r="P136" s="90" t="str">
        <f>IF(AND($B136&gt;='1121'!$N$9,$B136&lt;='1121'!$O$9,OR($J136=$P$7,$K136=$P$7)),"x","")</f>
        <v/>
      </c>
      <c r="Q136" s="90" t="str">
        <f>IF(AND($J136=$P$7,$B136&lt;'1121'!$N$9),"x","")</f>
        <v/>
      </c>
      <c r="R136" s="90" t="str">
        <f>IF(AND($K136=$P$7,$B136&lt;'1121'!$N$9),"x","")</f>
        <v>x</v>
      </c>
      <c r="S136" s="90" t="str">
        <f>IF(AND($B136&gt;='1331'!$I$9,$B136&lt;='1331'!$J$9,OR($J136=$S$7,$K136=$S$7)),"x","")</f>
        <v/>
      </c>
      <c r="T136" s="90" t="str">
        <f>IF(AND($J136=$S$7,$B136&lt;'1331'!$I$9),"x","")</f>
        <v/>
      </c>
      <c r="U136" s="90" t="str">
        <f>IF(AND($K136=$S$7,$B136&lt;'1331'!$I$9),"x","")</f>
        <v/>
      </c>
      <c r="V136" s="90" t="str">
        <f>IF(AND('3411-CT'!$E$9=TH!H136,OR(TH!J136=TH!$V$7,K136=TH!$V$7)),"x","")</f>
        <v/>
      </c>
      <c r="W136" s="90" t="str">
        <f>IF(OR(TH!J136=TH!$W$7,K136=TH!$W$7),"x","")</f>
        <v/>
      </c>
      <c r="X136" s="90" t="str">
        <f t="shared" si="5"/>
        <v>3</v>
      </c>
    </row>
    <row r="137" spans="1:24" s="77" customFormat="1" ht="15.75" customHeight="1">
      <c r="A137" s="158" t="str">
        <f>IF(B137&lt;&gt;"",IF(AND(B137&gt;=_TM1,B137&lt;=_TM2,OR(TH!J137="1111",TH!K137="1111")),TH!D137,""),"")</f>
        <v/>
      </c>
      <c r="B137" s="63">
        <f t="shared" si="4"/>
        <v>9</v>
      </c>
      <c r="C137" s="64">
        <v>41905</v>
      </c>
      <c r="D137" s="64" t="s">
        <v>8</v>
      </c>
      <c r="E137" s="64">
        <v>41905</v>
      </c>
      <c r="F137" s="67" t="s">
        <v>21</v>
      </c>
      <c r="G137" s="439"/>
      <c r="H137" s="79"/>
      <c r="I137" s="65">
        <v>225783</v>
      </c>
      <c r="J137" s="66" t="s">
        <v>140</v>
      </c>
      <c r="K137" s="66" t="s">
        <v>34</v>
      </c>
      <c r="L137" s="90" t="str">
        <f>IF(AND('331-CT'!$E$7=TH!H137,OR(J137="331",K137="331")),"x","")</f>
        <v/>
      </c>
      <c r="M137" s="90" t="str">
        <f>IF(AND($B137&gt;='1111'!$N$10,$B137&lt;='1111'!$O$10,OR($J137=$M$7,$K137=$M$7)),"x","")</f>
        <v/>
      </c>
      <c r="N137" s="90" t="str">
        <f>IF(AND($J137=$M$7,$B137&lt;'1111'!$N$10),"x","")</f>
        <v/>
      </c>
      <c r="O137" s="90" t="str">
        <f>IF(AND($K137=$M$7,$B137&lt;'1111'!$N$10),"x","")</f>
        <v/>
      </c>
      <c r="P137" s="90" t="str">
        <f>IF(AND($B137&gt;='1121'!$N$9,$B137&lt;='1121'!$O$9,OR($J137=$P$7,$K137=$P$7)),"x","")</f>
        <v/>
      </c>
      <c r="Q137" s="90" t="str">
        <f>IF(AND($J137=$P$7,$B137&lt;'1121'!$N$9),"x","")</f>
        <v/>
      </c>
      <c r="R137" s="90" t="str">
        <f>IF(AND($K137=$P$7,$B137&lt;'1121'!$N$9),"x","")</f>
        <v>x</v>
      </c>
      <c r="S137" s="90" t="str">
        <f>IF(AND($B137&gt;='1331'!$I$9,$B137&lt;='1331'!$J$9,OR($J137=$S$7,$K137=$S$7)),"x","")</f>
        <v/>
      </c>
      <c r="T137" s="90" t="str">
        <f>IF(AND($J137=$S$7,$B137&lt;'1331'!$I$9),"x","")</f>
        <v/>
      </c>
      <c r="U137" s="90" t="str">
        <f>IF(AND($K137=$S$7,$B137&lt;'1331'!$I$9),"x","")</f>
        <v/>
      </c>
      <c r="V137" s="90" t="str">
        <f>IF(AND('3411-CT'!$E$9=TH!H137,OR(TH!J137=TH!$V$7,K137=TH!$V$7)),"x","")</f>
        <v/>
      </c>
      <c r="W137" s="90" t="str">
        <f>IF(OR(TH!J137=TH!$W$7,K137=TH!$W$7),"x","")</f>
        <v/>
      </c>
      <c r="X137" s="90" t="str">
        <f t="shared" si="5"/>
        <v>3</v>
      </c>
    </row>
    <row r="138" spans="1:24" s="77" customFormat="1" ht="15.75" customHeight="1">
      <c r="A138" s="158" t="str">
        <f>IF(B138&lt;&gt;"",IF(AND(B138&gt;=_TM1,B138&lt;=_TM2,OR(TH!J138="1111",TH!K138="1111")),TH!D138,""),"")</f>
        <v/>
      </c>
      <c r="B138" s="63">
        <f t="shared" si="4"/>
        <v>9</v>
      </c>
      <c r="C138" s="64">
        <v>41905</v>
      </c>
      <c r="D138" s="64" t="s">
        <v>8</v>
      </c>
      <c r="E138" s="64">
        <v>41905</v>
      </c>
      <c r="F138" s="67" t="s">
        <v>22</v>
      </c>
      <c r="G138" s="439"/>
      <c r="H138" s="7"/>
      <c r="I138" s="65">
        <v>22578</v>
      </c>
      <c r="J138" s="66" t="s">
        <v>10</v>
      </c>
      <c r="K138" s="66" t="s">
        <v>34</v>
      </c>
      <c r="L138" s="90" t="str">
        <f>IF(AND('331-CT'!$E$7=TH!H138,OR(J138="331",K138="331")),"x","")</f>
        <v/>
      </c>
      <c r="M138" s="90" t="str">
        <f>IF(AND($B138&gt;='1111'!$N$10,$B138&lt;='1111'!$O$10,OR($J138=$M$7,$K138=$M$7)),"x","")</f>
        <v/>
      </c>
      <c r="N138" s="90" t="str">
        <f>IF(AND($J138=$M$7,$B138&lt;'1111'!$N$10),"x","")</f>
        <v/>
      </c>
      <c r="O138" s="90" t="str">
        <f>IF(AND($K138=$M$7,$B138&lt;'1111'!$N$10),"x","")</f>
        <v/>
      </c>
      <c r="P138" s="90" t="str">
        <f>IF(AND($B138&gt;='1121'!$N$9,$B138&lt;='1121'!$O$9,OR($J138=$P$7,$K138=$P$7)),"x","")</f>
        <v/>
      </c>
      <c r="Q138" s="90" t="str">
        <f>IF(AND($J138=$P$7,$B138&lt;'1121'!$N$9),"x","")</f>
        <v/>
      </c>
      <c r="R138" s="90" t="str">
        <f>IF(AND($K138=$P$7,$B138&lt;'1121'!$N$9),"x","")</f>
        <v>x</v>
      </c>
      <c r="S138" s="90" t="str">
        <f>IF(AND($B138&gt;='1331'!$I$9,$B138&lt;='1331'!$J$9,OR($J138=$S$7,$K138=$S$7)),"x","")</f>
        <v>x</v>
      </c>
      <c r="T138" s="90" t="str">
        <f>IF(AND($J138=$S$7,$B138&lt;'1331'!$I$9),"x","")</f>
        <v/>
      </c>
      <c r="U138" s="90" t="str">
        <f>IF(AND($K138=$S$7,$B138&lt;'1331'!$I$9),"x","")</f>
        <v/>
      </c>
      <c r="V138" s="90" t="str">
        <f>IF(AND('3411-CT'!$E$9=TH!H138,OR(TH!J138=TH!$V$7,K138=TH!$V$7)),"x","")</f>
        <v/>
      </c>
      <c r="W138" s="90" t="str">
        <f>IF(OR(TH!J138=TH!$W$7,K138=TH!$W$7),"x","")</f>
        <v/>
      </c>
      <c r="X138" s="90" t="str">
        <f t="shared" si="5"/>
        <v>3</v>
      </c>
    </row>
    <row r="139" spans="1:24" s="77" customFormat="1" ht="15.75" customHeight="1">
      <c r="A139" s="158" t="str">
        <f>IF(B139&lt;&gt;"",IF(AND(B139&gt;=_TM1,B139&lt;=_TM2,OR(TH!J139="1111",TH!K139="1111")),TH!D139,""),"")</f>
        <v/>
      </c>
      <c r="B139" s="63">
        <f t="shared" si="4"/>
        <v>9</v>
      </c>
      <c r="C139" s="64">
        <v>41905</v>
      </c>
      <c r="D139" s="64" t="s">
        <v>8</v>
      </c>
      <c r="E139" s="64">
        <v>41905</v>
      </c>
      <c r="F139" s="67" t="s">
        <v>301</v>
      </c>
      <c r="G139" s="439"/>
      <c r="H139" s="79" t="s">
        <v>55</v>
      </c>
      <c r="I139" s="65">
        <v>800000000</v>
      </c>
      <c r="J139" s="66" t="s">
        <v>9</v>
      </c>
      <c r="K139" s="66" t="s">
        <v>34</v>
      </c>
      <c r="L139" s="90" t="str">
        <f>IF(AND('331-CT'!$E$7=TH!H139,OR(J139="331",K139="331")),"x","")</f>
        <v/>
      </c>
      <c r="M139" s="90" t="str">
        <f>IF(AND($B139&gt;='1111'!$N$10,$B139&lt;='1111'!$O$10,OR($J139=$M$7,$K139=$M$7)),"x","")</f>
        <v/>
      </c>
      <c r="N139" s="90" t="str">
        <f>IF(AND($J139=$M$7,$B139&lt;'1111'!$N$10),"x","")</f>
        <v/>
      </c>
      <c r="O139" s="90" t="str">
        <f>IF(AND($K139=$M$7,$B139&lt;'1111'!$N$10),"x","")</f>
        <v/>
      </c>
      <c r="P139" s="90" t="str">
        <f>IF(AND($B139&gt;='1121'!$N$9,$B139&lt;='1121'!$O$9,OR($J139=$P$7,$K139=$P$7)),"x","")</f>
        <v/>
      </c>
      <c r="Q139" s="90" t="str">
        <f>IF(AND($J139=$P$7,$B139&lt;'1121'!$N$9),"x","")</f>
        <v/>
      </c>
      <c r="R139" s="90" t="str">
        <f>IF(AND($K139=$P$7,$B139&lt;'1121'!$N$9),"x","")</f>
        <v>x</v>
      </c>
      <c r="S139" s="90" t="str">
        <f>IF(AND($B139&gt;='1331'!$I$9,$B139&lt;='1331'!$J$9,OR($J139=$S$7,$K139=$S$7)),"x","")</f>
        <v/>
      </c>
      <c r="T139" s="90" t="str">
        <f>IF(AND($J139=$S$7,$B139&lt;'1331'!$I$9),"x","")</f>
        <v/>
      </c>
      <c r="U139" s="90" t="str">
        <f>IF(AND($K139=$S$7,$B139&lt;'1331'!$I$9),"x","")</f>
        <v/>
      </c>
      <c r="V139" s="90" t="str">
        <f>IF(AND('3411-CT'!$E$9=TH!H139,OR(TH!J139=TH!$V$7,K139=TH!$V$7)),"x","")</f>
        <v/>
      </c>
      <c r="W139" s="90" t="str">
        <f>IF(OR(TH!J139=TH!$W$7,K139=TH!$W$7),"x","")</f>
        <v/>
      </c>
      <c r="X139" s="90" t="str">
        <f t="shared" si="5"/>
        <v>3</v>
      </c>
    </row>
    <row r="140" spans="1:24" s="77" customFormat="1" ht="15.75" customHeight="1">
      <c r="A140" s="158" t="str">
        <f>IF(B140&lt;&gt;"",IF(AND(B140&gt;=_TM1,B140&lt;=_TM2,OR(TH!J140="1111",TH!K140="1111")),TH!D140,""),"")</f>
        <v/>
      </c>
      <c r="B140" s="63">
        <f t="shared" si="4"/>
        <v>9</v>
      </c>
      <c r="C140" s="64">
        <v>41905</v>
      </c>
      <c r="D140" s="64" t="s">
        <v>8</v>
      </c>
      <c r="E140" s="64">
        <v>41905</v>
      </c>
      <c r="F140" s="67" t="s">
        <v>21</v>
      </c>
      <c r="G140" s="439"/>
      <c r="H140" s="79"/>
      <c r="I140" s="65">
        <v>400000</v>
      </c>
      <c r="J140" s="66" t="s">
        <v>140</v>
      </c>
      <c r="K140" s="66" t="s">
        <v>34</v>
      </c>
      <c r="L140" s="90" t="str">
        <f>IF(AND('331-CT'!$E$7=TH!H140,OR(J140="331",K140="331")),"x","")</f>
        <v/>
      </c>
      <c r="M140" s="90" t="str">
        <f>IF(AND($B140&gt;='1111'!$N$10,$B140&lt;='1111'!$O$10,OR($J140=$M$7,$K140=$M$7)),"x","")</f>
        <v/>
      </c>
      <c r="N140" s="90" t="str">
        <f>IF(AND($J140=$M$7,$B140&lt;'1111'!$N$10),"x","")</f>
        <v/>
      </c>
      <c r="O140" s="90" t="str">
        <f>IF(AND($K140=$M$7,$B140&lt;'1111'!$N$10),"x","")</f>
        <v/>
      </c>
      <c r="P140" s="90" t="str">
        <f>IF(AND($B140&gt;='1121'!$N$9,$B140&lt;='1121'!$O$9,OR($J140=$P$7,$K140=$P$7)),"x","")</f>
        <v/>
      </c>
      <c r="Q140" s="90" t="str">
        <f>IF(AND($J140=$P$7,$B140&lt;'1121'!$N$9),"x","")</f>
        <v/>
      </c>
      <c r="R140" s="90" t="str">
        <f>IF(AND($K140=$P$7,$B140&lt;'1121'!$N$9),"x","")</f>
        <v>x</v>
      </c>
      <c r="S140" s="90" t="str">
        <f>IF(AND($B140&gt;='1331'!$I$9,$B140&lt;='1331'!$J$9,OR($J140=$S$7,$K140=$S$7)),"x","")</f>
        <v/>
      </c>
      <c r="T140" s="90" t="str">
        <f>IF(AND($J140=$S$7,$B140&lt;'1331'!$I$9),"x","")</f>
        <v/>
      </c>
      <c r="U140" s="90" t="str">
        <f>IF(AND($K140=$S$7,$B140&lt;'1331'!$I$9),"x","")</f>
        <v/>
      </c>
      <c r="V140" s="90" t="str">
        <f>IF(AND('3411-CT'!$E$9=TH!H140,OR(TH!J140=TH!$V$7,K140=TH!$V$7)),"x","")</f>
        <v/>
      </c>
      <c r="W140" s="90" t="str">
        <f>IF(OR(TH!J140=TH!$W$7,K140=TH!$W$7),"x","")</f>
        <v/>
      </c>
      <c r="X140" s="90" t="str">
        <f t="shared" si="5"/>
        <v>3</v>
      </c>
    </row>
    <row r="141" spans="1:24" s="77" customFormat="1" ht="15.75" customHeight="1">
      <c r="A141" s="158" t="str">
        <f>IF(B141&lt;&gt;"",IF(AND(B141&gt;=_TM1,B141&lt;=_TM2,OR(TH!J141="1111",TH!K141="1111")),TH!D141,""),"")</f>
        <v/>
      </c>
      <c r="B141" s="85">
        <f t="shared" si="4"/>
        <v>9</v>
      </c>
      <c r="C141" s="64">
        <v>41905</v>
      </c>
      <c r="D141" s="64" t="s">
        <v>8</v>
      </c>
      <c r="E141" s="64">
        <v>41905</v>
      </c>
      <c r="F141" s="67" t="s">
        <v>22</v>
      </c>
      <c r="G141" s="449"/>
      <c r="H141" s="79"/>
      <c r="I141" s="65">
        <v>40000</v>
      </c>
      <c r="J141" s="66" t="s">
        <v>10</v>
      </c>
      <c r="K141" s="66" t="s">
        <v>34</v>
      </c>
      <c r="L141" s="90" t="str">
        <f>IF(AND('331-CT'!$E$7=TH!H141,OR(J141="331",K141="331")),"x","")</f>
        <v/>
      </c>
      <c r="M141" s="90" t="str">
        <f>IF(AND($B141&gt;='1111'!$N$10,$B141&lt;='1111'!$O$10,OR($J141=$M$7,$K141=$M$7)),"x","")</f>
        <v/>
      </c>
      <c r="N141" s="90" t="str">
        <f>IF(AND($J141=$M$7,$B141&lt;'1111'!$N$10),"x","")</f>
        <v/>
      </c>
      <c r="O141" s="90" t="str">
        <f>IF(AND($K141=$M$7,$B141&lt;'1111'!$N$10),"x","")</f>
        <v/>
      </c>
      <c r="P141" s="90" t="str">
        <f>IF(AND($B141&gt;='1121'!$N$9,$B141&lt;='1121'!$O$9,OR($J141=$P$7,$K141=$P$7)),"x","")</f>
        <v/>
      </c>
      <c r="Q141" s="90" t="str">
        <f>IF(AND($J141=$P$7,$B141&lt;'1121'!$N$9),"x","")</f>
        <v/>
      </c>
      <c r="R141" s="90" t="str">
        <f>IF(AND($K141=$P$7,$B141&lt;'1121'!$N$9),"x","")</f>
        <v>x</v>
      </c>
      <c r="S141" s="90" t="str">
        <f>IF(AND($B141&gt;='1331'!$I$9,$B141&lt;='1331'!$J$9,OR($J141=$S$7,$K141=$S$7)),"x","")</f>
        <v>x</v>
      </c>
      <c r="T141" s="90" t="str">
        <f>IF(AND($J141=$S$7,$B141&lt;'1331'!$I$9),"x","")</f>
        <v/>
      </c>
      <c r="U141" s="90" t="str">
        <f>IF(AND($K141=$S$7,$B141&lt;'1331'!$I$9),"x","")</f>
        <v/>
      </c>
      <c r="V141" s="90" t="str">
        <f>IF(AND('3411-CT'!$E$9=TH!H141,OR(TH!J141=TH!$V$7,K141=TH!$V$7)),"x","")</f>
        <v/>
      </c>
      <c r="W141" s="90" t="str">
        <f>IF(OR(TH!J141=TH!$W$7,K141=TH!$W$7),"x","")</f>
        <v/>
      </c>
      <c r="X141" s="90" t="str">
        <f t="shared" si="5"/>
        <v>3</v>
      </c>
    </row>
    <row r="142" spans="1:24" s="77" customFormat="1" ht="15.75" customHeight="1">
      <c r="A142" s="158" t="str">
        <f>IF(B142&lt;&gt;"",IF(AND(B142&gt;=_TM1,B142&lt;=_TM2,OR(TH!J142="1111",TH!K142="1111")),TH!D142,""),"")</f>
        <v/>
      </c>
      <c r="B142" s="85">
        <f t="shared" si="4"/>
        <v>9</v>
      </c>
      <c r="C142" s="64">
        <v>41905</v>
      </c>
      <c r="D142" s="64" t="s">
        <v>11</v>
      </c>
      <c r="E142" s="64">
        <v>41905</v>
      </c>
      <c r="F142" s="67" t="s">
        <v>328</v>
      </c>
      <c r="G142" s="449"/>
      <c r="H142" s="79" t="s">
        <v>167</v>
      </c>
      <c r="I142" s="65">
        <v>2000000000</v>
      </c>
      <c r="J142" s="66" t="s">
        <v>34</v>
      </c>
      <c r="K142" s="66" t="s">
        <v>125</v>
      </c>
      <c r="L142" s="90" t="str">
        <f>IF(AND('331-CT'!$E$7=TH!H142,OR(J142="331",K142="331")),"x","")</f>
        <v/>
      </c>
      <c r="M142" s="90" t="str">
        <f>IF(AND($B142&gt;='1111'!$N$10,$B142&lt;='1111'!$O$10,OR($J142=$M$7,$K142=$M$7)),"x","")</f>
        <v/>
      </c>
      <c r="N142" s="90" t="str">
        <f>IF(AND($J142=$M$7,$B142&lt;'1111'!$N$10),"x","")</f>
        <v/>
      </c>
      <c r="O142" s="90" t="str">
        <f>IF(AND($K142=$M$7,$B142&lt;'1111'!$N$10),"x","")</f>
        <v/>
      </c>
      <c r="P142" s="90" t="str">
        <f>IF(AND($B142&gt;='1121'!$N$9,$B142&lt;='1121'!$O$9,OR($J142=$P$7,$K142=$P$7)),"x","")</f>
        <v/>
      </c>
      <c r="Q142" s="90" t="str">
        <f>IF(AND($J142=$P$7,$B142&lt;'1121'!$N$9),"x","")</f>
        <v>x</v>
      </c>
      <c r="R142" s="90" t="str">
        <f>IF(AND($K142=$P$7,$B142&lt;'1121'!$N$9),"x","")</f>
        <v/>
      </c>
      <c r="S142" s="90" t="str">
        <f>IF(AND($B142&gt;='1331'!$I$9,$B142&lt;='1331'!$J$9,OR($J142=$S$7,$K142=$S$7)),"x","")</f>
        <v/>
      </c>
      <c r="T142" s="90" t="str">
        <f>IF(AND($J142=$S$7,$B142&lt;'1331'!$I$9),"x","")</f>
        <v/>
      </c>
      <c r="U142" s="90" t="str">
        <f>IF(AND($K142=$S$7,$B142&lt;'1331'!$I$9),"x","")</f>
        <v/>
      </c>
      <c r="V142" s="90" t="str">
        <f>IF(AND('3411-CT'!$E$9=TH!H142,OR(TH!J142=TH!$V$7,K142=TH!$V$7)),"x","")</f>
        <v/>
      </c>
      <c r="W142" s="90" t="str">
        <f>IF(OR(TH!J142=TH!$W$7,K142=TH!$W$7),"x","")</f>
        <v/>
      </c>
      <c r="X142" s="90" t="str">
        <f t="shared" si="5"/>
        <v>3</v>
      </c>
    </row>
    <row r="143" spans="1:24" s="77" customFormat="1" ht="15.75" customHeight="1">
      <c r="A143" s="158" t="str">
        <f>IF(B143&lt;&gt;"",IF(AND(B143&gt;=_TM1,B143&lt;=_TM2,OR(TH!J143="1111",TH!K143="1111")),TH!D143,""),"")</f>
        <v/>
      </c>
      <c r="B143" s="63">
        <f t="shared" ref="B143:B206" si="6">IF(C143&lt;&gt;"",MONTH(C143),"")</f>
        <v>9</v>
      </c>
      <c r="C143" s="64">
        <v>41906</v>
      </c>
      <c r="D143" s="64" t="s">
        <v>8</v>
      </c>
      <c r="E143" s="64">
        <v>41906</v>
      </c>
      <c r="F143" s="67" t="s">
        <v>329</v>
      </c>
      <c r="G143" s="439"/>
      <c r="H143" s="79"/>
      <c r="I143" s="65">
        <v>20000</v>
      </c>
      <c r="J143" s="66" t="s">
        <v>140</v>
      </c>
      <c r="K143" s="66" t="s">
        <v>34</v>
      </c>
      <c r="L143" s="90" t="str">
        <f>IF(AND('331-CT'!$E$7=TH!H143,OR(J143="331",K143="331")),"x","")</f>
        <v/>
      </c>
      <c r="M143" s="90" t="str">
        <f>IF(AND($B143&gt;='1111'!$N$10,$B143&lt;='1111'!$O$10,OR($J143=$M$7,$K143=$M$7)),"x","")</f>
        <v/>
      </c>
      <c r="N143" s="90" t="str">
        <f>IF(AND($J143=$M$7,$B143&lt;'1111'!$N$10),"x","")</f>
        <v/>
      </c>
      <c r="O143" s="90" t="str">
        <f>IF(AND($K143=$M$7,$B143&lt;'1111'!$N$10),"x","")</f>
        <v/>
      </c>
      <c r="P143" s="90" t="str">
        <f>IF(AND($B143&gt;='1121'!$N$9,$B143&lt;='1121'!$O$9,OR($J143=$P$7,$K143=$P$7)),"x","")</f>
        <v/>
      </c>
      <c r="Q143" s="90" t="str">
        <f>IF(AND($J143=$P$7,$B143&lt;'1121'!$N$9),"x","")</f>
        <v/>
      </c>
      <c r="R143" s="90" t="str">
        <f>IF(AND($K143=$P$7,$B143&lt;'1121'!$N$9),"x","")</f>
        <v>x</v>
      </c>
      <c r="S143" s="90" t="str">
        <f>IF(AND($B143&gt;='1331'!$I$9,$B143&lt;='1331'!$J$9,OR($J143=$S$7,$K143=$S$7)),"x","")</f>
        <v/>
      </c>
      <c r="T143" s="90" t="str">
        <f>IF(AND($J143=$S$7,$B143&lt;'1331'!$I$9),"x","")</f>
        <v/>
      </c>
      <c r="U143" s="90" t="str">
        <f>IF(AND($K143=$S$7,$B143&lt;'1331'!$I$9),"x","")</f>
        <v/>
      </c>
      <c r="V143" s="90" t="str">
        <f>IF(AND('3411-CT'!$E$9=TH!H143,OR(TH!J143=TH!$V$7,K143=TH!$V$7)),"x","")</f>
        <v/>
      </c>
      <c r="W143" s="90" t="str">
        <f>IF(OR(TH!J143=TH!$W$7,K143=TH!$W$7),"x","")</f>
        <v/>
      </c>
      <c r="X143" s="90" t="str">
        <f t="shared" si="5"/>
        <v>3</v>
      </c>
    </row>
    <row r="144" spans="1:24" s="77" customFormat="1" ht="15.75" customHeight="1">
      <c r="A144" s="158" t="str">
        <f>IF(B144&lt;&gt;"",IF(AND(B144&gt;=_TM1,B144&lt;=_TM2,OR(TH!J144="1111",TH!K144="1111")),TH!D144,""),"")</f>
        <v/>
      </c>
      <c r="B144" s="63">
        <f t="shared" si="6"/>
        <v>9</v>
      </c>
      <c r="C144" s="64">
        <v>41906</v>
      </c>
      <c r="D144" s="64" t="s">
        <v>8</v>
      </c>
      <c r="E144" s="64">
        <v>41906</v>
      </c>
      <c r="F144" s="67" t="s">
        <v>330</v>
      </c>
      <c r="G144" s="449"/>
      <c r="H144" s="79"/>
      <c r="I144" s="65">
        <v>2000</v>
      </c>
      <c r="J144" s="66" t="s">
        <v>10</v>
      </c>
      <c r="K144" s="66" t="s">
        <v>34</v>
      </c>
      <c r="L144" s="90" t="str">
        <f>IF(AND('331-CT'!$E$7=TH!H144,OR(J144="331",K144="331")),"x","")</f>
        <v/>
      </c>
      <c r="M144" s="90" t="str">
        <f>IF(AND($B144&gt;='1111'!$N$10,$B144&lt;='1111'!$O$10,OR($J144=$M$7,$K144=$M$7)),"x","")</f>
        <v/>
      </c>
      <c r="N144" s="90" t="str">
        <f>IF(AND($J144=$M$7,$B144&lt;'1111'!$N$10),"x","")</f>
        <v/>
      </c>
      <c r="O144" s="90" t="str">
        <f>IF(AND($K144=$M$7,$B144&lt;'1111'!$N$10),"x","")</f>
        <v/>
      </c>
      <c r="P144" s="90" t="str">
        <f>IF(AND($B144&gt;='1121'!$N$9,$B144&lt;='1121'!$O$9,OR($J144=$P$7,$K144=$P$7)),"x","")</f>
        <v/>
      </c>
      <c r="Q144" s="90" t="str">
        <f>IF(AND($J144=$P$7,$B144&lt;'1121'!$N$9),"x","")</f>
        <v/>
      </c>
      <c r="R144" s="90" t="str">
        <f>IF(AND($K144=$P$7,$B144&lt;'1121'!$N$9),"x","")</f>
        <v>x</v>
      </c>
      <c r="S144" s="90" t="str">
        <f>IF(AND($B144&gt;='1331'!$I$9,$B144&lt;='1331'!$J$9,OR($J144=$S$7,$K144=$S$7)),"x","")</f>
        <v>x</v>
      </c>
      <c r="T144" s="90" t="str">
        <f>IF(AND($J144=$S$7,$B144&lt;'1331'!$I$9),"x","")</f>
        <v/>
      </c>
      <c r="U144" s="90" t="str">
        <f>IF(AND($K144=$S$7,$B144&lt;'1331'!$I$9),"x","")</f>
        <v/>
      </c>
      <c r="V144" s="90" t="str">
        <f>IF(AND('3411-CT'!$E$9=TH!H144,OR(TH!J144=TH!$V$7,K144=TH!$V$7)),"x","")</f>
        <v/>
      </c>
      <c r="W144" s="90" t="str">
        <f>IF(OR(TH!J144=TH!$W$7,K144=TH!$W$7),"x","")</f>
        <v/>
      </c>
      <c r="X144" s="90" t="str">
        <f t="shared" si="5"/>
        <v>3</v>
      </c>
    </row>
    <row r="145" spans="1:24" s="77" customFormat="1" ht="15.75" customHeight="1">
      <c r="A145" s="158" t="str">
        <f>IF(B145&lt;&gt;"",IF(AND(B145&gt;=_TM1,B145&lt;=_TM2,OR(TH!J145="1111",TH!K145="1111")),TH!D145,""),"")</f>
        <v/>
      </c>
      <c r="B145" s="63">
        <f t="shared" si="6"/>
        <v>9</v>
      </c>
      <c r="C145" s="64">
        <v>41907</v>
      </c>
      <c r="D145" s="64" t="s">
        <v>11</v>
      </c>
      <c r="E145" s="64">
        <v>41907</v>
      </c>
      <c r="F145" s="67" t="s">
        <v>66</v>
      </c>
      <c r="G145" s="439"/>
      <c r="H145" s="79"/>
      <c r="I145" s="65">
        <v>199881</v>
      </c>
      <c r="J145" s="66" t="s">
        <v>34</v>
      </c>
      <c r="K145" s="66" t="s">
        <v>67</v>
      </c>
      <c r="L145" s="90" t="str">
        <f>IF(AND('331-CT'!$E$7=TH!H145,OR(J145="331",K145="331")),"x","")</f>
        <v/>
      </c>
      <c r="M145" s="90" t="str">
        <f>IF(AND($B145&gt;='1111'!$N$10,$B145&lt;='1111'!$O$10,OR($J145=$M$7,$K145=$M$7)),"x","")</f>
        <v/>
      </c>
      <c r="N145" s="90" t="str">
        <f>IF(AND($J145=$M$7,$B145&lt;'1111'!$N$10),"x","")</f>
        <v/>
      </c>
      <c r="O145" s="90" t="str">
        <f>IF(AND($K145=$M$7,$B145&lt;'1111'!$N$10),"x","")</f>
        <v/>
      </c>
      <c r="P145" s="90" t="str">
        <f>IF(AND($B145&gt;='1121'!$N$9,$B145&lt;='1121'!$O$9,OR($J145=$P$7,$K145=$P$7)),"x","")</f>
        <v/>
      </c>
      <c r="Q145" s="90" t="str">
        <f>IF(AND($J145=$P$7,$B145&lt;'1121'!$N$9),"x","")</f>
        <v>x</v>
      </c>
      <c r="R145" s="90" t="str">
        <f>IF(AND($K145=$P$7,$B145&lt;'1121'!$N$9),"x","")</f>
        <v/>
      </c>
      <c r="S145" s="90" t="str">
        <f>IF(AND($B145&gt;='1331'!$I$9,$B145&lt;='1331'!$J$9,OR($J145=$S$7,$K145=$S$7)),"x","")</f>
        <v/>
      </c>
      <c r="T145" s="90" t="str">
        <f>IF(AND($J145=$S$7,$B145&lt;'1331'!$I$9),"x","")</f>
        <v/>
      </c>
      <c r="U145" s="90" t="str">
        <f>IF(AND($K145=$S$7,$B145&lt;'1331'!$I$9),"x","")</f>
        <v/>
      </c>
      <c r="V145" s="90" t="str">
        <f>IF(AND('3411-CT'!$E$9=TH!H145,OR(TH!J145=TH!$V$7,K145=TH!$V$7)),"x","")</f>
        <v/>
      </c>
      <c r="W145" s="90" t="str">
        <f>IF(OR(TH!J145=TH!$W$7,K145=TH!$W$7),"x","")</f>
        <v/>
      </c>
      <c r="X145" s="90" t="str">
        <f t="shared" si="5"/>
        <v>3</v>
      </c>
    </row>
    <row r="146" spans="1:24" s="77" customFormat="1" ht="15.75" customHeight="1">
      <c r="A146" s="158" t="str">
        <f>IF(B146&lt;&gt;"",IF(AND(B146&gt;=_TM1,B146&lt;=_TM2,OR(TH!J146="1111",TH!K146="1111")),TH!D146,""),"")</f>
        <v/>
      </c>
      <c r="B146" s="63">
        <f t="shared" si="6"/>
        <v>9</v>
      </c>
      <c r="C146" s="64">
        <v>41907</v>
      </c>
      <c r="D146" s="64" t="s">
        <v>8</v>
      </c>
      <c r="E146" s="64">
        <v>41907</v>
      </c>
      <c r="F146" s="67" t="s">
        <v>329</v>
      </c>
      <c r="G146" s="439"/>
      <c r="H146" s="79"/>
      <c r="I146" s="65">
        <v>20000</v>
      </c>
      <c r="J146" s="66" t="s">
        <v>140</v>
      </c>
      <c r="K146" s="66" t="s">
        <v>34</v>
      </c>
      <c r="L146" s="90" t="str">
        <f>IF(AND('331-CT'!$E$7=TH!H146,OR(J146="331",K146="331")),"x","")</f>
        <v/>
      </c>
      <c r="M146" s="90" t="str">
        <f>IF(AND($B146&gt;='1111'!$N$10,$B146&lt;='1111'!$O$10,OR($J146=$M$7,$K146=$M$7)),"x","")</f>
        <v/>
      </c>
      <c r="N146" s="90" t="str">
        <f>IF(AND($J146=$M$7,$B146&lt;'1111'!$N$10),"x","")</f>
        <v/>
      </c>
      <c r="O146" s="90" t="str">
        <f>IF(AND($K146=$M$7,$B146&lt;'1111'!$N$10),"x","")</f>
        <v/>
      </c>
      <c r="P146" s="90" t="str">
        <f>IF(AND($B146&gt;='1121'!$N$9,$B146&lt;='1121'!$O$9,OR($J146=$P$7,$K146=$P$7)),"x","")</f>
        <v/>
      </c>
      <c r="Q146" s="90" t="str">
        <f>IF(AND($J146=$P$7,$B146&lt;'1121'!$N$9),"x","")</f>
        <v/>
      </c>
      <c r="R146" s="90" t="str">
        <f>IF(AND($K146=$P$7,$B146&lt;'1121'!$N$9),"x","")</f>
        <v>x</v>
      </c>
      <c r="S146" s="90" t="str">
        <f>IF(AND($B146&gt;='1331'!$I$9,$B146&lt;='1331'!$J$9,OR($J146=$S$7,$K146=$S$7)),"x","")</f>
        <v/>
      </c>
      <c r="T146" s="90" t="str">
        <f>IF(AND($J146=$S$7,$B146&lt;'1331'!$I$9),"x","")</f>
        <v/>
      </c>
      <c r="U146" s="90" t="str">
        <f>IF(AND($K146=$S$7,$B146&lt;'1331'!$I$9),"x","")</f>
        <v/>
      </c>
      <c r="V146" s="90" t="str">
        <f>IF(AND('3411-CT'!$E$9=TH!H146,OR(TH!J146=TH!$V$7,K146=TH!$V$7)),"x","")</f>
        <v/>
      </c>
      <c r="W146" s="90" t="str">
        <f>IF(OR(TH!J146=TH!$W$7,K146=TH!$W$7),"x","")</f>
        <v/>
      </c>
      <c r="X146" s="90" t="str">
        <f t="shared" ref="X146:X209" si="7">IF(AND(1&lt;=$B146,$B146&lt;=3),"1",IF(AND(4&lt;=$B146,$B146&lt;=6),"2",IF(AND(7&lt;=$B146,$B146&lt;=9),"3",IF(AND(10&lt;=$B146,$B146&lt;=12),"4",""))))</f>
        <v>3</v>
      </c>
    </row>
    <row r="147" spans="1:24" s="77" customFormat="1" ht="15.75" customHeight="1">
      <c r="A147" s="158" t="str">
        <f>IF(B147&lt;&gt;"",IF(AND(B147&gt;=_TM1,B147&lt;=_TM2,OR(TH!J147="1111",TH!K147="1111")),TH!D147,""),"")</f>
        <v/>
      </c>
      <c r="B147" s="63">
        <f t="shared" si="6"/>
        <v>9</v>
      </c>
      <c r="C147" s="64">
        <v>41907</v>
      </c>
      <c r="D147" s="64" t="s">
        <v>8</v>
      </c>
      <c r="E147" s="64">
        <v>41907</v>
      </c>
      <c r="F147" s="67" t="s">
        <v>330</v>
      </c>
      <c r="G147" s="439"/>
      <c r="H147" s="79"/>
      <c r="I147" s="65">
        <v>2000</v>
      </c>
      <c r="J147" s="66" t="s">
        <v>10</v>
      </c>
      <c r="K147" s="66" t="s">
        <v>34</v>
      </c>
      <c r="L147" s="90" t="str">
        <f>IF(AND('331-CT'!$E$7=TH!H147,OR(J147="331",K147="331")),"x","")</f>
        <v/>
      </c>
      <c r="M147" s="90" t="str">
        <f>IF(AND($B147&gt;='1111'!$N$10,$B147&lt;='1111'!$O$10,OR($J147=$M$7,$K147=$M$7)),"x","")</f>
        <v/>
      </c>
      <c r="N147" s="90" t="str">
        <f>IF(AND($J147=$M$7,$B147&lt;'1111'!$N$10),"x","")</f>
        <v/>
      </c>
      <c r="O147" s="90" t="str">
        <f>IF(AND($K147=$M$7,$B147&lt;'1111'!$N$10),"x","")</f>
        <v/>
      </c>
      <c r="P147" s="90" t="str">
        <f>IF(AND($B147&gt;='1121'!$N$9,$B147&lt;='1121'!$O$9,OR($J147=$P$7,$K147=$P$7)),"x","")</f>
        <v/>
      </c>
      <c r="Q147" s="90" t="str">
        <f>IF(AND($J147=$P$7,$B147&lt;'1121'!$N$9),"x","")</f>
        <v/>
      </c>
      <c r="R147" s="90" t="str">
        <f>IF(AND($K147=$P$7,$B147&lt;'1121'!$N$9),"x","")</f>
        <v>x</v>
      </c>
      <c r="S147" s="90" t="str">
        <f>IF(AND($B147&gt;='1331'!$I$9,$B147&lt;='1331'!$J$9,OR($J147=$S$7,$K147=$S$7)),"x","")</f>
        <v>x</v>
      </c>
      <c r="T147" s="90" t="str">
        <f>IF(AND($J147=$S$7,$B147&lt;'1331'!$I$9),"x","")</f>
        <v/>
      </c>
      <c r="U147" s="90" t="str">
        <f>IF(AND($K147=$S$7,$B147&lt;'1331'!$I$9),"x","")</f>
        <v/>
      </c>
      <c r="V147" s="90" t="str">
        <f>IF(AND('3411-CT'!$E$9=TH!H147,OR(TH!J147=TH!$V$7,K147=TH!$V$7)),"x","")</f>
        <v/>
      </c>
      <c r="W147" s="90" t="str">
        <f>IF(OR(TH!J147=TH!$W$7,K147=TH!$W$7),"x","")</f>
        <v/>
      </c>
      <c r="X147" s="90" t="str">
        <f t="shared" si="7"/>
        <v>3</v>
      </c>
    </row>
    <row r="148" spans="1:24" s="91" customFormat="1" ht="15.75" customHeight="1">
      <c r="A148" s="158" t="str">
        <f>IF(B148&lt;&gt;"",IF(AND(B148&gt;=_TM1,B148&lt;=_TM2,OR(TH!J148="1111",TH!K148="1111")),TH!D148,""),"")</f>
        <v/>
      </c>
      <c r="B148" s="63">
        <f t="shared" si="6"/>
        <v>9</v>
      </c>
      <c r="C148" s="64">
        <v>41907</v>
      </c>
      <c r="D148" s="64" t="s">
        <v>8</v>
      </c>
      <c r="E148" s="64">
        <v>41907</v>
      </c>
      <c r="F148" s="67" t="s">
        <v>29</v>
      </c>
      <c r="G148" s="439"/>
      <c r="H148" s="7"/>
      <c r="I148" s="65">
        <v>50000</v>
      </c>
      <c r="J148" s="66" t="s">
        <v>140</v>
      </c>
      <c r="K148" s="66" t="s">
        <v>34</v>
      </c>
      <c r="L148" s="90" t="str">
        <f>IF(AND('331-CT'!$E$7=TH!H148,OR(J148="331",K148="331")),"x","")</f>
        <v/>
      </c>
      <c r="M148" s="90" t="str">
        <f>IF(AND($B148&gt;='1111'!$N$10,$B148&lt;='1111'!$O$10,OR($J148=$M$7,$K148=$M$7)),"x","")</f>
        <v/>
      </c>
      <c r="N148" s="90" t="str">
        <f>IF(AND($J148=$M$7,$B148&lt;'1111'!$N$10),"x","")</f>
        <v/>
      </c>
      <c r="O148" s="90" t="str">
        <f>IF(AND($K148=$M$7,$B148&lt;'1111'!$N$10),"x","")</f>
        <v/>
      </c>
      <c r="P148" s="90" t="str">
        <f>IF(AND($B148&gt;='1121'!$N$9,$B148&lt;='1121'!$O$9,OR($J148=$P$7,$K148=$P$7)),"x","")</f>
        <v/>
      </c>
      <c r="Q148" s="90" t="str">
        <f>IF(AND($J148=$P$7,$B148&lt;'1121'!$N$9),"x","")</f>
        <v/>
      </c>
      <c r="R148" s="90" t="str">
        <f>IF(AND($K148=$P$7,$B148&lt;'1121'!$N$9),"x","")</f>
        <v>x</v>
      </c>
      <c r="S148" s="90" t="str">
        <f>IF(AND($B148&gt;='1331'!$I$9,$B148&lt;='1331'!$J$9,OR($J148=$S$7,$K148=$S$7)),"x","")</f>
        <v/>
      </c>
      <c r="T148" s="90" t="str">
        <f>IF(AND($J148=$S$7,$B148&lt;'1331'!$I$9),"x","")</f>
        <v/>
      </c>
      <c r="U148" s="90" t="str">
        <f>IF(AND($K148=$S$7,$B148&lt;'1331'!$I$9),"x","")</f>
        <v/>
      </c>
      <c r="V148" s="90" t="str">
        <f>IF(AND('3411-CT'!$E$9=TH!H148,OR(TH!J148=TH!$V$7,K148=TH!$V$7)),"x","")</f>
        <v/>
      </c>
      <c r="W148" s="90" t="str">
        <f>IF(OR(TH!J148=TH!$W$7,K148=TH!$W$7),"x","")</f>
        <v/>
      </c>
      <c r="X148" s="90" t="str">
        <f t="shared" si="7"/>
        <v>3</v>
      </c>
    </row>
    <row r="149" spans="1:24" s="91" customFormat="1" ht="15.75" customHeight="1">
      <c r="A149" s="158" t="str">
        <f>IF(B149&lt;&gt;"",IF(AND(B149&gt;=_TM1,B149&lt;=_TM2,OR(TH!J149="1111",TH!K149="1111")),TH!D149,""),"")</f>
        <v/>
      </c>
      <c r="B149" s="63">
        <f t="shared" si="6"/>
        <v>9</v>
      </c>
      <c r="C149" s="64">
        <v>41907</v>
      </c>
      <c r="D149" s="64" t="s">
        <v>8</v>
      </c>
      <c r="E149" s="64">
        <v>41907</v>
      </c>
      <c r="F149" s="67" t="s">
        <v>26</v>
      </c>
      <c r="G149" s="439"/>
      <c r="H149" s="79"/>
      <c r="I149" s="65">
        <v>5000</v>
      </c>
      <c r="J149" s="66" t="s">
        <v>10</v>
      </c>
      <c r="K149" s="66" t="s">
        <v>34</v>
      </c>
      <c r="L149" s="90" t="str">
        <f>IF(AND('331-CT'!$E$7=TH!H149,OR(J149="331",K149="331")),"x","")</f>
        <v/>
      </c>
      <c r="M149" s="90" t="str">
        <f>IF(AND($B149&gt;='1111'!$N$10,$B149&lt;='1111'!$O$10,OR($J149=$M$7,$K149=$M$7)),"x","")</f>
        <v/>
      </c>
      <c r="N149" s="90" t="str">
        <f>IF(AND($J149=$M$7,$B149&lt;'1111'!$N$10),"x","")</f>
        <v/>
      </c>
      <c r="O149" s="90" t="str">
        <f>IF(AND($K149=$M$7,$B149&lt;'1111'!$N$10),"x","")</f>
        <v/>
      </c>
      <c r="P149" s="90" t="str">
        <f>IF(AND($B149&gt;='1121'!$N$9,$B149&lt;='1121'!$O$9,OR($J149=$P$7,$K149=$P$7)),"x","")</f>
        <v/>
      </c>
      <c r="Q149" s="90" t="str">
        <f>IF(AND($J149=$P$7,$B149&lt;'1121'!$N$9),"x","")</f>
        <v/>
      </c>
      <c r="R149" s="90" t="str">
        <f>IF(AND($K149=$P$7,$B149&lt;'1121'!$N$9),"x","")</f>
        <v>x</v>
      </c>
      <c r="S149" s="90" t="str">
        <f>IF(AND($B149&gt;='1331'!$I$9,$B149&lt;='1331'!$J$9,OR($J149=$S$7,$K149=$S$7)),"x","")</f>
        <v>x</v>
      </c>
      <c r="T149" s="90" t="str">
        <f>IF(AND($J149=$S$7,$B149&lt;'1331'!$I$9),"x","")</f>
        <v/>
      </c>
      <c r="U149" s="90" t="str">
        <f>IF(AND($K149=$S$7,$B149&lt;'1331'!$I$9),"x","")</f>
        <v/>
      </c>
      <c r="V149" s="90" t="str">
        <f>IF(AND('3411-CT'!$E$9=TH!H149,OR(TH!J149=TH!$V$7,K149=TH!$V$7)),"x","")</f>
        <v/>
      </c>
      <c r="W149" s="90" t="str">
        <f>IF(OR(TH!J149=TH!$W$7,K149=TH!$W$7),"x","")</f>
        <v/>
      </c>
      <c r="X149" s="90" t="str">
        <f t="shared" si="7"/>
        <v>3</v>
      </c>
    </row>
    <row r="150" spans="1:24" s="77" customFormat="1" ht="15.75" customHeight="1">
      <c r="A150" s="158" t="str">
        <f>IF(B150&lt;&gt;"",IF(AND(B150&gt;=_TM1,B150&lt;=_TM2,OR(TH!J150="1111",TH!K150="1111")),TH!D150,""),"")</f>
        <v/>
      </c>
      <c r="B150" s="63">
        <f t="shared" si="6"/>
        <v>9</v>
      </c>
      <c r="C150" s="64">
        <v>41907</v>
      </c>
      <c r="D150" s="64" t="s">
        <v>8</v>
      </c>
      <c r="E150" s="64">
        <v>41907</v>
      </c>
      <c r="F150" s="67" t="s">
        <v>305</v>
      </c>
      <c r="G150" s="439"/>
      <c r="H150" s="79"/>
      <c r="I150" s="65">
        <v>50000</v>
      </c>
      <c r="J150" s="66" t="s">
        <v>140</v>
      </c>
      <c r="K150" s="66" t="s">
        <v>34</v>
      </c>
      <c r="L150" s="90" t="str">
        <f>IF(AND('331-CT'!$E$7=TH!H150,OR(J150="331",K150="331")),"x","")</f>
        <v/>
      </c>
      <c r="M150" s="90" t="str">
        <f>IF(AND($B150&gt;='1111'!$N$10,$B150&lt;='1111'!$O$10,OR($J150=$M$7,$K150=$M$7)),"x","")</f>
        <v/>
      </c>
      <c r="N150" s="90" t="str">
        <f>IF(AND($J150=$M$7,$B150&lt;'1111'!$N$10),"x","")</f>
        <v/>
      </c>
      <c r="O150" s="90" t="str">
        <f>IF(AND($K150=$M$7,$B150&lt;'1111'!$N$10),"x","")</f>
        <v/>
      </c>
      <c r="P150" s="90" t="str">
        <f>IF(AND($B150&gt;='1121'!$N$9,$B150&lt;='1121'!$O$9,OR($J150=$P$7,$K150=$P$7)),"x","")</f>
        <v/>
      </c>
      <c r="Q150" s="90" t="str">
        <f>IF(AND($J150=$P$7,$B150&lt;'1121'!$N$9),"x","")</f>
        <v/>
      </c>
      <c r="R150" s="90" t="str">
        <f>IF(AND($K150=$P$7,$B150&lt;'1121'!$N$9),"x","")</f>
        <v>x</v>
      </c>
      <c r="S150" s="90" t="str">
        <f>IF(AND($B150&gt;='1331'!$I$9,$B150&lt;='1331'!$J$9,OR($J150=$S$7,$K150=$S$7)),"x","")</f>
        <v/>
      </c>
      <c r="T150" s="90" t="str">
        <f>IF(AND($J150=$S$7,$B150&lt;'1331'!$I$9),"x","")</f>
        <v/>
      </c>
      <c r="U150" s="90" t="str">
        <f>IF(AND($K150=$S$7,$B150&lt;'1331'!$I$9),"x","")</f>
        <v/>
      </c>
      <c r="V150" s="90" t="str">
        <f>IF(AND('3411-CT'!$E$9=TH!H150,OR(TH!J150=TH!$V$7,K150=TH!$V$7)),"x","")</f>
        <v/>
      </c>
      <c r="W150" s="90" t="str">
        <f>IF(OR(TH!J150=TH!$W$7,K150=TH!$W$7),"x","")</f>
        <v/>
      </c>
      <c r="X150" s="90" t="str">
        <f t="shared" si="7"/>
        <v>3</v>
      </c>
    </row>
    <row r="151" spans="1:24" s="77" customFormat="1" ht="15.75" customHeight="1">
      <c r="A151" s="158" t="str">
        <f>IF(B151&lt;&gt;"",IF(AND(B151&gt;=_TM1,B151&lt;=_TM2,OR(TH!J151="1111",TH!K151="1111")),TH!D151,""),"")</f>
        <v/>
      </c>
      <c r="B151" s="63">
        <f t="shared" si="6"/>
        <v>9</v>
      </c>
      <c r="C151" s="64">
        <v>41907</v>
      </c>
      <c r="D151" s="64" t="s">
        <v>8</v>
      </c>
      <c r="E151" s="64">
        <v>41907</v>
      </c>
      <c r="F151" s="67" t="s">
        <v>26</v>
      </c>
      <c r="G151" s="439"/>
      <c r="H151" s="79"/>
      <c r="I151" s="65">
        <v>5000</v>
      </c>
      <c r="J151" s="66" t="s">
        <v>10</v>
      </c>
      <c r="K151" s="66" t="s">
        <v>34</v>
      </c>
      <c r="L151" s="90" t="str">
        <f>IF(AND('331-CT'!$E$7=TH!H151,OR(J151="331",K151="331")),"x","")</f>
        <v/>
      </c>
      <c r="M151" s="90" t="str">
        <f>IF(AND($B151&gt;='1111'!$N$10,$B151&lt;='1111'!$O$10,OR($J151=$M$7,$K151=$M$7)),"x","")</f>
        <v/>
      </c>
      <c r="N151" s="90" t="str">
        <f>IF(AND($J151=$M$7,$B151&lt;'1111'!$N$10),"x","")</f>
        <v/>
      </c>
      <c r="O151" s="90" t="str">
        <f>IF(AND($K151=$M$7,$B151&lt;'1111'!$N$10),"x","")</f>
        <v/>
      </c>
      <c r="P151" s="90" t="str">
        <f>IF(AND($B151&gt;='1121'!$N$9,$B151&lt;='1121'!$O$9,OR($J151=$P$7,$K151=$P$7)),"x","")</f>
        <v/>
      </c>
      <c r="Q151" s="90" t="str">
        <f>IF(AND($J151=$P$7,$B151&lt;'1121'!$N$9),"x","")</f>
        <v/>
      </c>
      <c r="R151" s="90" t="str">
        <f>IF(AND($K151=$P$7,$B151&lt;'1121'!$N$9),"x","")</f>
        <v>x</v>
      </c>
      <c r="S151" s="90" t="str">
        <f>IF(AND($B151&gt;='1331'!$I$9,$B151&lt;='1331'!$J$9,OR($J151=$S$7,$K151=$S$7)),"x","")</f>
        <v>x</v>
      </c>
      <c r="T151" s="90" t="str">
        <f>IF(AND($J151=$S$7,$B151&lt;'1331'!$I$9),"x","")</f>
        <v/>
      </c>
      <c r="U151" s="90" t="str">
        <f>IF(AND($K151=$S$7,$B151&lt;'1331'!$I$9),"x","")</f>
        <v/>
      </c>
      <c r="V151" s="90" t="str">
        <f>IF(AND('3411-CT'!$E$9=TH!H151,OR(TH!J151=TH!$V$7,K151=TH!$V$7)),"x","")</f>
        <v/>
      </c>
      <c r="W151" s="90" t="str">
        <f>IF(OR(TH!J151=TH!$W$7,K151=TH!$W$7),"x","")</f>
        <v/>
      </c>
      <c r="X151" s="90" t="str">
        <f t="shared" si="7"/>
        <v>3</v>
      </c>
    </row>
    <row r="152" spans="1:24" s="77" customFormat="1" ht="15.75" customHeight="1">
      <c r="A152" s="158" t="str">
        <f>IF(B152&lt;&gt;"",IF(AND(B152&gt;=_TM1,B152&lt;=_TM2,OR(TH!J152="1111",TH!K152="1111")),TH!D152,""),"")</f>
        <v/>
      </c>
      <c r="B152" s="63">
        <f t="shared" si="6"/>
        <v>9</v>
      </c>
      <c r="C152" s="64">
        <v>41907</v>
      </c>
      <c r="D152" s="64" t="s">
        <v>8</v>
      </c>
      <c r="E152" s="64">
        <v>41907</v>
      </c>
      <c r="F152" s="67" t="s">
        <v>28</v>
      </c>
      <c r="G152" s="449"/>
      <c r="H152" s="79"/>
      <c r="I152" s="65">
        <v>50000</v>
      </c>
      <c r="J152" s="66" t="s">
        <v>140</v>
      </c>
      <c r="K152" s="66" t="s">
        <v>34</v>
      </c>
      <c r="L152" s="90" t="str">
        <f>IF(AND('331-CT'!$E$7=TH!H152,OR(J152="331",K152="331")),"x","")</f>
        <v/>
      </c>
      <c r="M152" s="90" t="str">
        <f>IF(AND($B152&gt;='1111'!$N$10,$B152&lt;='1111'!$O$10,OR($J152=$M$7,$K152=$M$7)),"x","")</f>
        <v/>
      </c>
      <c r="N152" s="90" t="str">
        <f>IF(AND($J152=$M$7,$B152&lt;'1111'!$N$10),"x","")</f>
        <v/>
      </c>
      <c r="O152" s="90" t="str">
        <f>IF(AND($K152=$M$7,$B152&lt;'1111'!$N$10),"x","")</f>
        <v/>
      </c>
      <c r="P152" s="90" t="str">
        <f>IF(AND($B152&gt;='1121'!$N$9,$B152&lt;='1121'!$O$9,OR($J152=$P$7,$K152=$P$7)),"x","")</f>
        <v/>
      </c>
      <c r="Q152" s="90" t="str">
        <f>IF(AND($J152=$P$7,$B152&lt;'1121'!$N$9),"x","")</f>
        <v/>
      </c>
      <c r="R152" s="90" t="str">
        <f>IF(AND($K152=$P$7,$B152&lt;'1121'!$N$9),"x","")</f>
        <v>x</v>
      </c>
      <c r="S152" s="90" t="str">
        <f>IF(AND($B152&gt;='1331'!$I$9,$B152&lt;='1331'!$J$9,OR($J152=$S$7,$K152=$S$7)),"x","")</f>
        <v/>
      </c>
      <c r="T152" s="90" t="str">
        <f>IF(AND($J152=$S$7,$B152&lt;'1331'!$I$9),"x","")</f>
        <v/>
      </c>
      <c r="U152" s="90" t="str">
        <f>IF(AND($K152=$S$7,$B152&lt;'1331'!$I$9),"x","")</f>
        <v/>
      </c>
      <c r="V152" s="90" t="str">
        <f>IF(AND('3411-CT'!$E$9=TH!H152,OR(TH!J152=TH!$V$7,K152=TH!$V$7)),"x","")</f>
        <v/>
      </c>
      <c r="W152" s="90" t="str">
        <f>IF(OR(TH!J152=TH!$W$7,K152=TH!$W$7),"x","")</f>
        <v/>
      </c>
      <c r="X152" s="90" t="str">
        <f t="shared" si="7"/>
        <v>3</v>
      </c>
    </row>
    <row r="153" spans="1:24" s="77" customFormat="1" ht="15.75" customHeight="1">
      <c r="A153" s="158" t="str">
        <f>IF(B153&lt;&gt;"",IF(AND(B153&gt;=_TM1,B153&lt;=_TM2,OR(TH!J153="1111",TH!K153="1111")),TH!D153,""),"")</f>
        <v/>
      </c>
      <c r="B153" s="63">
        <f t="shared" si="6"/>
        <v>9</v>
      </c>
      <c r="C153" s="64">
        <v>41907</v>
      </c>
      <c r="D153" s="64" t="s">
        <v>8</v>
      </c>
      <c r="E153" s="64">
        <v>41907</v>
      </c>
      <c r="F153" s="67" t="s">
        <v>26</v>
      </c>
      <c r="G153" s="449"/>
      <c r="H153" s="79"/>
      <c r="I153" s="65">
        <v>5000</v>
      </c>
      <c r="J153" s="66" t="s">
        <v>10</v>
      </c>
      <c r="K153" s="66" t="s">
        <v>34</v>
      </c>
      <c r="L153" s="90" t="str">
        <f>IF(AND('331-CT'!$E$7=TH!H153,OR(J153="331",K153="331")),"x","")</f>
        <v/>
      </c>
      <c r="M153" s="90" t="str">
        <f>IF(AND($B153&gt;='1111'!$N$10,$B153&lt;='1111'!$O$10,OR($J153=$M$7,$K153=$M$7)),"x","")</f>
        <v/>
      </c>
      <c r="N153" s="90" t="str">
        <f>IF(AND($J153=$M$7,$B153&lt;'1111'!$N$10),"x","")</f>
        <v/>
      </c>
      <c r="O153" s="90" t="str">
        <f>IF(AND($K153=$M$7,$B153&lt;'1111'!$N$10),"x","")</f>
        <v/>
      </c>
      <c r="P153" s="90" t="str">
        <f>IF(AND($B153&gt;='1121'!$N$9,$B153&lt;='1121'!$O$9,OR($J153=$P$7,$K153=$P$7)),"x","")</f>
        <v/>
      </c>
      <c r="Q153" s="90" t="str">
        <f>IF(AND($J153=$P$7,$B153&lt;'1121'!$N$9),"x","")</f>
        <v/>
      </c>
      <c r="R153" s="90" t="str">
        <f>IF(AND($K153=$P$7,$B153&lt;'1121'!$N$9),"x","")</f>
        <v>x</v>
      </c>
      <c r="S153" s="90" t="str">
        <f>IF(AND($B153&gt;='1331'!$I$9,$B153&lt;='1331'!$J$9,OR($J153=$S$7,$K153=$S$7)),"x","")</f>
        <v>x</v>
      </c>
      <c r="T153" s="90" t="str">
        <f>IF(AND($J153=$S$7,$B153&lt;'1331'!$I$9),"x","")</f>
        <v/>
      </c>
      <c r="U153" s="90" t="str">
        <f>IF(AND($K153=$S$7,$B153&lt;'1331'!$I$9),"x","")</f>
        <v/>
      </c>
      <c r="V153" s="90" t="str">
        <f>IF(AND('3411-CT'!$E$9=TH!H153,OR(TH!J153=TH!$V$7,K153=TH!$V$7)),"x","")</f>
        <v/>
      </c>
      <c r="W153" s="90" t="str">
        <f>IF(OR(TH!J153=TH!$W$7,K153=TH!$W$7),"x","")</f>
        <v/>
      </c>
      <c r="X153" s="90" t="str">
        <f t="shared" si="7"/>
        <v>3</v>
      </c>
    </row>
    <row r="154" spans="1:24" s="77" customFormat="1" ht="15.75" customHeight="1">
      <c r="A154" s="158" t="str">
        <f>IF(B154&lt;&gt;"",IF(AND(B154&gt;=_TM1,B154&lt;=_TM2,OR(TH!J154="1111",TH!K154="1111")),TH!D154,""),"")</f>
        <v/>
      </c>
      <c r="B154" s="63">
        <f t="shared" si="6"/>
        <v>10</v>
      </c>
      <c r="C154" s="64">
        <v>41915</v>
      </c>
      <c r="D154" s="64" t="s">
        <v>8</v>
      </c>
      <c r="E154" s="64">
        <v>41915</v>
      </c>
      <c r="F154" s="67" t="s">
        <v>331</v>
      </c>
      <c r="G154" s="449"/>
      <c r="H154" s="7" t="s">
        <v>77</v>
      </c>
      <c r="I154" s="65">
        <v>16327199</v>
      </c>
      <c r="J154" s="66" t="s">
        <v>9</v>
      </c>
      <c r="K154" s="66" t="s">
        <v>34</v>
      </c>
      <c r="L154" s="90" t="str">
        <f>IF(AND('331-CT'!$E$7=TH!H154,OR(J154="331",K154="331")),"x","")</f>
        <v/>
      </c>
      <c r="M154" s="90" t="str">
        <f>IF(AND($B154&gt;='1111'!$N$10,$B154&lt;='1111'!$O$10,OR($J154=$M$7,$K154=$M$7)),"x","")</f>
        <v/>
      </c>
      <c r="N154" s="90" t="str">
        <f>IF(AND($J154=$M$7,$B154&lt;'1111'!$N$10),"x","")</f>
        <v/>
      </c>
      <c r="O154" s="90" t="str">
        <f>IF(AND($K154=$M$7,$B154&lt;'1111'!$N$10),"x","")</f>
        <v/>
      </c>
      <c r="P154" s="90" t="str">
        <f>IF(AND($B154&gt;='1121'!$N$9,$B154&lt;='1121'!$O$9,OR($J154=$P$7,$K154=$P$7)),"x","")</f>
        <v>x</v>
      </c>
      <c r="Q154" s="90" t="str">
        <f>IF(AND($J154=$P$7,$B154&lt;'1121'!$N$9),"x","")</f>
        <v/>
      </c>
      <c r="R154" s="90" t="str">
        <f>IF(AND($K154=$P$7,$B154&lt;'1121'!$N$9),"x","")</f>
        <v/>
      </c>
      <c r="S154" s="90" t="str">
        <f>IF(AND($B154&gt;='1331'!$I$9,$B154&lt;='1331'!$J$9,OR($J154=$S$7,$K154=$S$7)),"x","")</f>
        <v/>
      </c>
      <c r="T154" s="90" t="str">
        <f>IF(AND($J154=$S$7,$B154&lt;'1331'!$I$9),"x","")</f>
        <v/>
      </c>
      <c r="U154" s="90" t="str">
        <f>IF(AND($K154=$S$7,$B154&lt;'1331'!$I$9),"x","")</f>
        <v/>
      </c>
      <c r="V154" s="90" t="str">
        <f>IF(AND('3411-CT'!$E$9=TH!H154,OR(TH!J154=TH!$V$7,K154=TH!$V$7)),"x","")</f>
        <v/>
      </c>
      <c r="W154" s="90" t="str">
        <f>IF(OR(TH!J154=TH!$W$7,K154=TH!$W$7),"x","")</f>
        <v/>
      </c>
      <c r="X154" s="90" t="str">
        <f t="shared" si="7"/>
        <v>4</v>
      </c>
    </row>
    <row r="155" spans="1:24" s="77" customFormat="1" ht="15.75" customHeight="1">
      <c r="A155" s="158" t="str">
        <f>IF(B155&lt;&gt;"",IF(AND(B155&gt;=_TM1,B155&lt;=_TM2,OR(TH!J155="1111",TH!K155="1111")),TH!D155,""),"")</f>
        <v/>
      </c>
      <c r="B155" s="63">
        <f t="shared" si="6"/>
        <v>10</v>
      </c>
      <c r="C155" s="64">
        <v>41915</v>
      </c>
      <c r="D155" s="64" t="s">
        <v>8</v>
      </c>
      <c r="E155" s="64">
        <v>41915</v>
      </c>
      <c r="F155" s="67" t="s">
        <v>21</v>
      </c>
      <c r="G155" s="449"/>
      <c r="H155" s="7"/>
      <c r="I155" s="65">
        <v>25000</v>
      </c>
      <c r="J155" s="66" t="s">
        <v>140</v>
      </c>
      <c r="K155" s="66" t="s">
        <v>34</v>
      </c>
      <c r="L155" s="90" t="str">
        <f>IF(AND('331-CT'!$E$7=TH!H155,OR(J155="331",K155="331")),"x","")</f>
        <v/>
      </c>
      <c r="M155" s="90" t="str">
        <f>IF(AND($B155&gt;='1111'!$N$10,$B155&lt;='1111'!$O$10,OR($J155=$M$7,$K155=$M$7)),"x","")</f>
        <v/>
      </c>
      <c r="N155" s="90" t="str">
        <f>IF(AND($J155=$M$7,$B155&lt;'1111'!$N$10),"x","")</f>
        <v/>
      </c>
      <c r="O155" s="90" t="str">
        <f>IF(AND($K155=$M$7,$B155&lt;'1111'!$N$10),"x","")</f>
        <v/>
      </c>
      <c r="P155" s="90" t="str">
        <f>IF(AND($B155&gt;='1121'!$N$9,$B155&lt;='1121'!$O$9,OR($J155=$P$7,$K155=$P$7)),"x","")</f>
        <v>x</v>
      </c>
      <c r="Q155" s="90" t="str">
        <f>IF(AND($J155=$P$7,$B155&lt;'1121'!$N$9),"x","")</f>
        <v/>
      </c>
      <c r="R155" s="90" t="str">
        <f>IF(AND($K155=$P$7,$B155&lt;'1121'!$N$9),"x","")</f>
        <v/>
      </c>
      <c r="S155" s="90" t="str">
        <f>IF(AND($B155&gt;='1331'!$I$9,$B155&lt;='1331'!$J$9,OR($J155=$S$7,$K155=$S$7)),"x","")</f>
        <v/>
      </c>
      <c r="T155" s="90" t="str">
        <f>IF(AND($J155=$S$7,$B155&lt;'1331'!$I$9),"x","")</f>
        <v/>
      </c>
      <c r="U155" s="90" t="str">
        <f>IF(AND($K155=$S$7,$B155&lt;'1331'!$I$9),"x","")</f>
        <v/>
      </c>
      <c r="V155" s="90" t="str">
        <f>IF(AND('3411-CT'!$E$9=TH!H155,OR(TH!J155=TH!$V$7,K155=TH!$V$7)),"x","")</f>
        <v/>
      </c>
      <c r="W155" s="90" t="str">
        <f>IF(OR(TH!J155=TH!$W$7,K155=TH!$W$7),"x","")</f>
        <v/>
      </c>
      <c r="X155" s="90" t="str">
        <f t="shared" si="7"/>
        <v>4</v>
      </c>
    </row>
    <row r="156" spans="1:24" s="77" customFormat="1" ht="15.75" customHeight="1">
      <c r="A156" s="158" t="str">
        <f>IF(B156&lt;&gt;"",IF(AND(B156&gt;=_TM1,B156&lt;=_TM2,OR(TH!J156="1111",TH!K156="1111")),TH!D156,""),"")</f>
        <v/>
      </c>
      <c r="B156" s="63">
        <f t="shared" si="6"/>
        <v>10</v>
      </c>
      <c r="C156" s="64">
        <v>41915</v>
      </c>
      <c r="D156" s="64" t="s">
        <v>8</v>
      </c>
      <c r="E156" s="64">
        <v>41915</v>
      </c>
      <c r="F156" s="67" t="s">
        <v>22</v>
      </c>
      <c r="G156" s="439"/>
      <c r="H156" s="81"/>
      <c r="I156" s="65">
        <v>2500</v>
      </c>
      <c r="J156" s="66" t="s">
        <v>10</v>
      </c>
      <c r="K156" s="66" t="s">
        <v>34</v>
      </c>
      <c r="L156" s="90" t="str">
        <f>IF(AND('331-CT'!$E$7=TH!H156,OR(J156="331",K156="331")),"x","")</f>
        <v/>
      </c>
      <c r="M156" s="90" t="str">
        <f>IF(AND($B156&gt;='1111'!$N$10,$B156&lt;='1111'!$O$10,OR($J156=$M$7,$K156=$M$7)),"x","")</f>
        <v/>
      </c>
      <c r="N156" s="90" t="str">
        <f>IF(AND($J156=$M$7,$B156&lt;'1111'!$N$10),"x","")</f>
        <v/>
      </c>
      <c r="O156" s="90" t="str">
        <f>IF(AND($K156=$M$7,$B156&lt;'1111'!$N$10),"x","")</f>
        <v/>
      </c>
      <c r="P156" s="90" t="str">
        <f>IF(AND($B156&gt;='1121'!$N$9,$B156&lt;='1121'!$O$9,OR($J156=$P$7,$K156=$P$7)),"x","")</f>
        <v>x</v>
      </c>
      <c r="Q156" s="90" t="str">
        <f>IF(AND($J156=$P$7,$B156&lt;'1121'!$N$9),"x","")</f>
        <v/>
      </c>
      <c r="R156" s="90" t="str">
        <f>IF(AND($K156=$P$7,$B156&lt;'1121'!$N$9),"x","")</f>
        <v/>
      </c>
      <c r="S156" s="90" t="str">
        <f>IF(AND($B156&gt;='1331'!$I$9,$B156&lt;='1331'!$J$9,OR($J156=$S$7,$K156=$S$7)),"x","")</f>
        <v/>
      </c>
      <c r="T156" s="90" t="str">
        <f>IF(AND($J156=$S$7,$B156&lt;'1331'!$I$9),"x","")</f>
        <v/>
      </c>
      <c r="U156" s="90" t="str">
        <f>IF(AND($K156=$S$7,$B156&lt;'1331'!$I$9),"x","")</f>
        <v/>
      </c>
      <c r="V156" s="90" t="str">
        <f>IF(AND('3411-CT'!$E$9=TH!H156,OR(TH!J156=TH!$V$7,K156=TH!$V$7)),"x","")</f>
        <v/>
      </c>
      <c r="W156" s="90" t="str">
        <f>IF(OR(TH!J156=TH!$W$7,K156=TH!$W$7),"x","")</f>
        <v/>
      </c>
      <c r="X156" s="90" t="str">
        <f t="shared" si="7"/>
        <v>4</v>
      </c>
    </row>
    <row r="157" spans="1:24" s="77" customFormat="1" ht="15.75" customHeight="1">
      <c r="A157" s="158" t="str">
        <f>IF(B157&lt;&gt;"",IF(AND(B157&gt;=_TM1,B157&lt;=_TM2,OR(TH!J157="1111",TH!K157="1111")),TH!D157,""),"")</f>
        <v/>
      </c>
      <c r="B157" s="63">
        <f t="shared" si="6"/>
        <v>10</v>
      </c>
      <c r="C157" s="64">
        <v>41918</v>
      </c>
      <c r="D157" s="64" t="s">
        <v>8</v>
      </c>
      <c r="E157" s="64">
        <v>41918</v>
      </c>
      <c r="F157" s="67" t="s">
        <v>332</v>
      </c>
      <c r="G157" s="439"/>
      <c r="H157" s="79" t="s">
        <v>54</v>
      </c>
      <c r="I157" s="65">
        <v>34408000</v>
      </c>
      <c r="J157" s="66" t="s">
        <v>9</v>
      </c>
      <c r="K157" s="66" t="s">
        <v>34</v>
      </c>
      <c r="L157" s="90" t="str">
        <f>IF(AND('331-CT'!$E$7=TH!H157,OR(J157="331",K157="331")),"x","")</f>
        <v/>
      </c>
      <c r="M157" s="90" t="str">
        <f>IF(AND($B157&gt;='1111'!$N$10,$B157&lt;='1111'!$O$10,OR($J157=$M$7,$K157=$M$7)),"x","")</f>
        <v/>
      </c>
      <c r="N157" s="90" t="str">
        <f>IF(AND($J157=$M$7,$B157&lt;'1111'!$N$10),"x","")</f>
        <v/>
      </c>
      <c r="O157" s="90" t="str">
        <f>IF(AND($K157=$M$7,$B157&lt;'1111'!$N$10),"x","")</f>
        <v/>
      </c>
      <c r="P157" s="90" t="str">
        <f>IF(AND($B157&gt;='1121'!$N$9,$B157&lt;='1121'!$O$9,OR($J157=$P$7,$K157=$P$7)),"x","")</f>
        <v>x</v>
      </c>
      <c r="Q157" s="90" t="str">
        <f>IF(AND($J157=$P$7,$B157&lt;'1121'!$N$9),"x","")</f>
        <v/>
      </c>
      <c r="R157" s="90" t="str">
        <f>IF(AND($K157=$P$7,$B157&lt;'1121'!$N$9),"x","")</f>
        <v/>
      </c>
      <c r="S157" s="90" t="str">
        <f>IF(AND($B157&gt;='1331'!$I$9,$B157&lt;='1331'!$J$9,OR($J157=$S$7,$K157=$S$7)),"x","")</f>
        <v/>
      </c>
      <c r="T157" s="90" t="str">
        <f>IF(AND($J157=$S$7,$B157&lt;'1331'!$I$9),"x","")</f>
        <v/>
      </c>
      <c r="U157" s="90" t="str">
        <f>IF(AND($K157=$S$7,$B157&lt;'1331'!$I$9),"x","")</f>
        <v/>
      </c>
      <c r="V157" s="90" t="str">
        <f>IF(AND('3411-CT'!$E$9=TH!H157,OR(TH!J157=TH!$V$7,K157=TH!$V$7)),"x","")</f>
        <v/>
      </c>
      <c r="W157" s="90" t="str">
        <f>IF(OR(TH!J157=TH!$W$7,K157=TH!$W$7),"x","")</f>
        <v/>
      </c>
      <c r="X157" s="90" t="str">
        <f t="shared" si="7"/>
        <v>4</v>
      </c>
    </row>
    <row r="158" spans="1:24" s="77" customFormat="1" ht="15.75" customHeight="1">
      <c r="A158" s="158" t="str">
        <f>IF(B158&lt;&gt;"",IF(AND(B158&gt;=_TM1,B158&lt;=_TM2,OR(TH!J158="1111",TH!K158="1111")),TH!D158,""),"")</f>
        <v/>
      </c>
      <c r="B158" s="63">
        <f t="shared" si="6"/>
        <v>10</v>
      </c>
      <c r="C158" s="64">
        <v>41918</v>
      </c>
      <c r="D158" s="64" t="s">
        <v>8</v>
      </c>
      <c r="E158" s="64">
        <v>41918</v>
      </c>
      <c r="F158" s="67" t="s">
        <v>21</v>
      </c>
      <c r="G158" s="439"/>
      <c r="H158" s="79"/>
      <c r="I158" s="65">
        <v>25000</v>
      </c>
      <c r="J158" s="66" t="s">
        <v>140</v>
      </c>
      <c r="K158" s="66" t="s">
        <v>34</v>
      </c>
      <c r="L158" s="90" t="str">
        <f>IF(AND('331-CT'!$E$7=TH!H158,OR(J158="331",K158="331")),"x","")</f>
        <v/>
      </c>
      <c r="M158" s="90" t="str">
        <f>IF(AND($B158&gt;='1111'!$N$10,$B158&lt;='1111'!$O$10,OR($J158=$M$7,$K158=$M$7)),"x","")</f>
        <v/>
      </c>
      <c r="N158" s="90" t="str">
        <f>IF(AND($J158=$M$7,$B158&lt;'1111'!$N$10),"x","")</f>
        <v/>
      </c>
      <c r="O158" s="90" t="str">
        <f>IF(AND($K158=$M$7,$B158&lt;'1111'!$N$10),"x","")</f>
        <v/>
      </c>
      <c r="P158" s="90" t="str">
        <f>IF(AND($B158&gt;='1121'!$N$9,$B158&lt;='1121'!$O$9,OR($J158=$P$7,$K158=$P$7)),"x","")</f>
        <v>x</v>
      </c>
      <c r="Q158" s="90" t="str">
        <f>IF(AND($J158=$P$7,$B158&lt;'1121'!$N$9),"x","")</f>
        <v/>
      </c>
      <c r="R158" s="90" t="str">
        <f>IF(AND($K158=$P$7,$B158&lt;'1121'!$N$9),"x","")</f>
        <v/>
      </c>
      <c r="S158" s="90" t="str">
        <f>IF(AND($B158&gt;='1331'!$I$9,$B158&lt;='1331'!$J$9,OR($J158=$S$7,$K158=$S$7)),"x","")</f>
        <v/>
      </c>
      <c r="T158" s="90" t="str">
        <f>IF(AND($J158=$S$7,$B158&lt;'1331'!$I$9),"x","")</f>
        <v/>
      </c>
      <c r="U158" s="90" t="str">
        <f>IF(AND($K158=$S$7,$B158&lt;'1331'!$I$9),"x","")</f>
        <v/>
      </c>
      <c r="V158" s="90" t="str">
        <f>IF(AND('3411-CT'!$E$9=TH!H158,OR(TH!J158=TH!$V$7,K158=TH!$V$7)),"x","")</f>
        <v/>
      </c>
      <c r="W158" s="90" t="str">
        <f>IF(OR(TH!J158=TH!$W$7,K158=TH!$W$7),"x","")</f>
        <v/>
      </c>
      <c r="X158" s="90" t="str">
        <f t="shared" si="7"/>
        <v>4</v>
      </c>
    </row>
    <row r="159" spans="1:24" s="77" customFormat="1" ht="15.75" customHeight="1">
      <c r="A159" s="158" t="str">
        <f>IF(B159&lt;&gt;"",IF(AND(B159&gt;=_TM1,B159&lt;=_TM2,OR(TH!J159="1111",TH!K159="1111")),TH!D159,""),"")</f>
        <v/>
      </c>
      <c r="B159" s="63">
        <f t="shared" si="6"/>
        <v>10</v>
      </c>
      <c r="C159" s="64">
        <v>41918</v>
      </c>
      <c r="D159" s="64" t="s">
        <v>8</v>
      </c>
      <c r="E159" s="64">
        <v>41918</v>
      </c>
      <c r="F159" s="67" t="s">
        <v>22</v>
      </c>
      <c r="G159" s="439"/>
      <c r="H159" s="79"/>
      <c r="I159" s="65">
        <v>2500</v>
      </c>
      <c r="J159" s="66" t="s">
        <v>10</v>
      </c>
      <c r="K159" s="66" t="s">
        <v>34</v>
      </c>
      <c r="L159" s="90" t="str">
        <f>IF(AND('331-CT'!$E$7=TH!H159,OR(J159="331",K159="331")),"x","")</f>
        <v/>
      </c>
      <c r="M159" s="90" t="str">
        <f>IF(AND($B159&gt;='1111'!$N$10,$B159&lt;='1111'!$O$10,OR($J159=$M$7,$K159=$M$7)),"x","")</f>
        <v/>
      </c>
      <c r="N159" s="90" t="str">
        <f>IF(AND($J159=$M$7,$B159&lt;'1111'!$N$10),"x","")</f>
        <v/>
      </c>
      <c r="O159" s="90" t="str">
        <f>IF(AND($K159=$M$7,$B159&lt;'1111'!$N$10),"x","")</f>
        <v/>
      </c>
      <c r="P159" s="90" t="str">
        <f>IF(AND($B159&gt;='1121'!$N$9,$B159&lt;='1121'!$O$9,OR($J159=$P$7,$K159=$P$7)),"x","")</f>
        <v>x</v>
      </c>
      <c r="Q159" s="90" t="str">
        <f>IF(AND($J159=$P$7,$B159&lt;'1121'!$N$9),"x","")</f>
        <v/>
      </c>
      <c r="R159" s="90" t="str">
        <f>IF(AND($K159=$P$7,$B159&lt;'1121'!$N$9),"x","")</f>
        <v/>
      </c>
      <c r="S159" s="90" t="str">
        <f>IF(AND($B159&gt;='1331'!$I$9,$B159&lt;='1331'!$J$9,OR($J159=$S$7,$K159=$S$7)),"x","")</f>
        <v/>
      </c>
      <c r="T159" s="90" t="str">
        <f>IF(AND($J159=$S$7,$B159&lt;'1331'!$I$9),"x","")</f>
        <v/>
      </c>
      <c r="U159" s="90" t="str">
        <f>IF(AND($K159=$S$7,$B159&lt;'1331'!$I$9),"x","")</f>
        <v/>
      </c>
      <c r="V159" s="90" t="str">
        <f>IF(AND('3411-CT'!$E$9=TH!H159,OR(TH!J159=TH!$V$7,K159=TH!$V$7)),"x","")</f>
        <v/>
      </c>
      <c r="W159" s="90" t="str">
        <f>IF(OR(TH!J159=TH!$W$7,K159=TH!$W$7),"x","")</f>
        <v/>
      </c>
      <c r="X159" s="90" t="str">
        <f t="shared" si="7"/>
        <v>4</v>
      </c>
    </row>
    <row r="160" spans="1:24" s="77" customFormat="1" ht="15.75" customHeight="1">
      <c r="A160" s="158" t="str">
        <f>IF(B160&lt;&gt;"",IF(AND(B160&gt;=_TM1,B160&lt;=_TM2,OR(TH!J160="1111",TH!K160="1111")),TH!D160,""),"")</f>
        <v/>
      </c>
      <c r="B160" s="63">
        <f t="shared" si="6"/>
        <v>10</v>
      </c>
      <c r="C160" s="64">
        <v>41927</v>
      </c>
      <c r="D160" s="64" t="s">
        <v>49</v>
      </c>
      <c r="E160" s="64">
        <v>41927</v>
      </c>
      <c r="F160" s="67" t="s">
        <v>78</v>
      </c>
      <c r="G160" s="439" t="s">
        <v>333</v>
      </c>
      <c r="H160" s="79" t="s">
        <v>79</v>
      </c>
      <c r="I160" s="65">
        <v>28000005</v>
      </c>
      <c r="J160" s="66" t="s">
        <v>214</v>
      </c>
      <c r="K160" s="66" t="s">
        <v>9</v>
      </c>
      <c r="L160" s="90" t="str">
        <f>IF(AND('331-CT'!$E$7=TH!H160,OR(J160="331",K160="331")),"x","")</f>
        <v>x</v>
      </c>
      <c r="M160" s="90" t="str">
        <f>IF(AND($B160&gt;='1111'!$N$10,$B160&lt;='1111'!$O$10,OR($J160=$M$7,$K160=$M$7)),"x","")</f>
        <v/>
      </c>
      <c r="N160" s="90" t="str">
        <f>IF(AND($J160=$M$7,$B160&lt;'1111'!$N$10),"x","")</f>
        <v/>
      </c>
      <c r="O160" s="90" t="str">
        <f>IF(AND($K160=$M$7,$B160&lt;'1111'!$N$10),"x","")</f>
        <v/>
      </c>
      <c r="P160" s="90" t="str">
        <f>IF(AND($B160&gt;='1121'!$N$9,$B160&lt;='1121'!$O$9,OR($J160=$P$7,$K160=$P$7)),"x","")</f>
        <v/>
      </c>
      <c r="Q160" s="90" t="str">
        <f>IF(AND($J160=$P$7,$B160&lt;'1121'!$N$9),"x","")</f>
        <v/>
      </c>
      <c r="R160" s="90" t="str">
        <f>IF(AND($K160=$P$7,$B160&lt;'1121'!$N$9),"x","")</f>
        <v/>
      </c>
      <c r="S160" s="90" t="str">
        <f>IF(AND($B160&gt;='1331'!$I$9,$B160&lt;='1331'!$J$9,OR($J160=$S$7,$K160=$S$7)),"x","")</f>
        <v/>
      </c>
      <c r="T160" s="90" t="str">
        <f>IF(AND($J160=$S$7,$B160&lt;'1331'!$I$9),"x","")</f>
        <v/>
      </c>
      <c r="U160" s="90" t="str">
        <f>IF(AND($K160=$S$7,$B160&lt;'1331'!$I$9),"x","")</f>
        <v/>
      </c>
      <c r="V160" s="90" t="str">
        <f>IF(AND('3411-CT'!$E$9=TH!H160,OR(TH!J160=TH!$V$7,K160=TH!$V$7)),"x","")</f>
        <v/>
      </c>
      <c r="W160" s="90" t="str">
        <f>IF(OR(TH!J160=TH!$W$7,K160=TH!$W$7),"x","")</f>
        <v/>
      </c>
      <c r="X160" s="90" t="str">
        <f t="shared" si="7"/>
        <v>4</v>
      </c>
    </row>
    <row r="161" spans="1:24" s="77" customFormat="1" ht="15.75" customHeight="1">
      <c r="A161" s="158" t="str">
        <f>IF(B161&lt;&gt;"",IF(AND(B161&gt;=_TM1,B161&lt;=_TM2,OR(TH!J161="1111",TH!K161="1111")),TH!D161,""),"")</f>
        <v/>
      </c>
      <c r="B161" s="63">
        <f t="shared" si="6"/>
        <v>10</v>
      </c>
      <c r="C161" s="64">
        <v>41927</v>
      </c>
      <c r="D161" s="64" t="s">
        <v>49</v>
      </c>
      <c r="E161" s="64">
        <v>41927</v>
      </c>
      <c r="F161" s="67" t="s">
        <v>334</v>
      </c>
      <c r="G161" s="439" t="s">
        <v>333</v>
      </c>
      <c r="H161" s="79" t="s">
        <v>79</v>
      </c>
      <c r="I161" s="65">
        <v>2800000</v>
      </c>
      <c r="J161" s="66" t="s">
        <v>10</v>
      </c>
      <c r="K161" s="66" t="s">
        <v>9</v>
      </c>
      <c r="L161" s="90" t="str">
        <f>IF(AND('331-CT'!$E$7=TH!H161,OR(J161="331",K161="331")),"x","")</f>
        <v>x</v>
      </c>
      <c r="M161" s="90" t="str">
        <f>IF(AND($B161&gt;='1111'!$N$10,$B161&lt;='1111'!$O$10,OR($J161=$M$7,$K161=$M$7)),"x","")</f>
        <v/>
      </c>
      <c r="N161" s="90" t="str">
        <f>IF(AND($J161=$M$7,$B161&lt;'1111'!$N$10),"x","")</f>
        <v/>
      </c>
      <c r="O161" s="90" t="str">
        <f>IF(AND($K161=$M$7,$B161&lt;'1111'!$N$10),"x","")</f>
        <v/>
      </c>
      <c r="P161" s="90" t="str">
        <f>IF(AND($B161&gt;='1121'!$N$9,$B161&lt;='1121'!$O$9,OR($J161=$P$7,$K161=$P$7)),"x","")</f>
        <v/>
      </c>
      <c r="Q161" s="90" t="str">
        <f>IF(AND($J161=$P$7,$B161&lt;'1121'!$N$9),"x","")</f>
        <v/>
      </c>
      <c r="R161" s="90" t="str">
        <f>IF(AND($K161=$P$7,$B161&lt;'1121'!$N$9),"x","")</f>
        <v/>
      </c>
      <c r="S161" s="90" t="str">
        <f>IF(AND($B161&gt;='1331'!$I$9,$B161&lt;='1331'!$J$9,OR($J161=$S$7,$K161=$S$7)),"x","")</f>
        <v/>
      </c>
      <c r="T161" s="90" t="str">
        <f>IF(AND($J161=$S$7,$B161&lt;'1331'!$I$9),"x","")</f>
        <v/>
      </c>
      <c r="U161" s="90" t="str">
        <f>IF(AND($K161=$S$7,$B161&lt;'1331'!$I$9),"x","")</f>
        <v/>
      </c>
      <c r="V161" s="90" t="str">
        <f>IF(AND('3411-CT'!$E$9=TH!H161,OR(TH!J161=TH!$V$7,K161=TH!$V$7)),"x","")</f>
        <v/>
      </c>
      <c r="W161" s="90" t="str">
        <f>IF(OR(TH!J161=TH!$W$7,K161=TH!$W$7),"x","")</f>
        <v/>
      </c>
      <c r="X161" s="90" t="str">
        <f t="shared" si="7"/>
        <v>4</v>
      </c>
    </row>
    <row r="162" spans="1:24" s="77" customFormat="1" ht="15.75" customHeight="1">
      <c r="A162" s="158" t="str">
        <f>IF(B162&lt;&gt;"",IF(AND(B162&gt;=_TM1,B162&lt;=_TM2,OR(TH!J162="1111",TH!K162="1111")),TH!D162,""),"")</f>
        <v/>
      </c>
      <c r="B162" s="63">
        <f t="shared" si="6"/>
        <v>10</v>
      </c>
      <c r="C162" s="64">
        <v>41928</v>
      </c>
      <c r="D162" s="64" t="s">
        <v>8</v>
      </c>
      <c r="E162" s="64">
        <v>41928</v>
      </c>
      <c r="F162" s="67" t="s">
        <v>311</v>
      </c>
      <c r="G162" s="439"/>
      <c r="H162" s="80" t="s">
        <v>57</v>
      </c>
      <c r="I162" s="65">
        <v>323824160</v>
      </c>
      <c r="J162" s="66" t="s">
        <v>9</v>
      </c>
      <c r="K162" s="66" t="s">
        <v>34</v>
      </c>
      <c r="L162" s="90" t="str">
        <f>IF(AND('331-CT'!$E$7=TH!H162,OR(J162="331",K162="331")),"x","")</f>
        <v/>
      </c>
      <c r="M162" s="90" t="str">
        <f>IF(AND($B162&gt;='1111'!$N$10,$B162&lt;='1111'!$O$10,OR($J162=$M$7,$K162=$M$7)),"x","")</f>
        <v/>
      </c>
      <c r="N162" s="90" t="str">
        <f>IF(AND($J162=$M$7,$B162&lt;'1111'!$N$10),"x","")</f>
        <v/>
      </c>
      <c r="O162" s="90" t="str">
        <f>IF(AND($K162=$M$7,$B162&lt;'1111'!$N$10),"x","")</f>
        <v/>
      </c>
      <c r="P162" s="90" t="str">
        <f>IF(AND($B162&gt;='1121'!$N$9,$B162&lt;='1121'!$O$9,OR($J162=$P$7,$K162=$P$7)),"x","")</f>
        <v>x</v>
      </c>
      <c r="Q162" s="90" t="str">
        <f>IF(AND($J162=$P$7,$B162&lt;'1121'!$N$9),"x","")</f>
        <v/>
      </c>
      <c r="R162" s="90" t="str">
        <f>IF(AND($K162=$P$7,$B162&lt;'1121'!$N$9),"x","")</f>
        <v/>
      </c>
      <c r="S162" s="90" t="str">
        <f>IF(AND($B162&gt;='1331'!$I$9,$B162&lt;='1331'!$J$9,OR($J162=$S$7,$K162=$S$7)),"x","")</f>
        <v/>
      </c>
      <c r="T162" s="90" t="str">
        <f>IF(AND($J162=$S$7,$B162&lt;'1331'!$I$9),"x","")</f>
        <v/>
      </c>
      <c r="U162" s="90" t="str">
        <f>IF(AND($K162=$S$7,$B162&lt;'1331'!$I$9),"x","")</f>
        <v/>
      </c>
      <c r="V162" s="90" t="str">
        <f>IF(AND('3411-CT'!$E$9=TH!H162,OR(TH!J162=TH!$V$7,K162=TH!$V$7)),"x","")</f>
        <v/>
      </c>
      <c r="W162" s="90" t="str">
        <f>IF(OR(TH!J162=TH!$W$7,K162=TH!$W$7),"x","")</f>
        <v/>
      </c>
      <c r="X162" s="90" t="str">
        <f t="shared" si="7"/>
        <v>4</v>
      </c>
    </row>
    <row r="163" spans="1:24" s="77" customFormat="1" ht="15.75" customHeight="1">
      <c r="A163" s="158" t="str">
        <f>IF(B163&lt;&gt;"",IF(AND(B163&gt;=_TM1,B163&lt;=_TM2,OR(TH!J163="1111",TH!K163="1111")),TH!D163,""),"")</f>
        <v/>
      </c>
      <c r="B163" s="63">
        <f t="shared" si="6"/>
        <v>10</v>
      </c>
      <c r="C163" s="64">
        <v>41928</v>
      </c>
      <c r="D163" s="64" t="s">
        <v>8</v>
      </c>
      <c r="E163" s="64">
        <v>41928</v>
      </c>
      <c r="F163" s="67" t="s">
        <v>21</v>
      </c>
      <c r="G163" s="439"/>
      <c r="H163" s="7"/>
      <c r="I163" s="65">
        <v>97147</v>
      </c>
      <c r="J163" s="66" t="s">
        <v>140</v>
      </c>
      <c r="K163" s="66" t="s">
        <v>34</v>
      </c>
      <c r="L163" s="90" t="str">
        <f>IF(AND('331-CT'!$E$7=TH!H163,OR(J163="331",K163="331")),"x","")</f>
        <v/>
      </c>
      <c r="M163" s="90" t="str">
        <f>IF(AND($B163&gt;='1111'!$N$10,$B163&lt;='1111'!$O$10,OR($J163=$M$7,$K163=$M$7)),"x","")</f>
        <v/>
      </c>
      <c r="N163" s="90" t="str">
        <f>IF(AND($J163=$M$7,$B163&lt;'1111'!$N$10),"x","")</f>
        <v/>
      </c>
      <c r="O163" s="90" t="str">
        <f>IF(AND($K163=$M$7,$B163&lt;'1111'!$N$10),"x","")</f>
        <v/>
      </c>
      <c r="P163" s="90" t="str">
        <f>IF(AND($B163&gt;='1121'!$N$9,$B163&lt;='1121'!$O$9,OR($J163=$P$7,$K163=$P$7)),"x","")</f>
        <v>x</v>
      </c>
      <c r="Q163" s="90" t="str">
        <f>IF(AND($J163=$P$7,$B163&lt;'1121'!$N$9),"x","")</f>
        <v/>
      </c>
      <c r="R163" s="90" t="str">
        <f>IF(AND($K163=$P$7,$B163&lt;'1121'!$N$9),"x","")</f>
        <v/>
      </c>
      <c r="S163" s="90" t="str">
        <f>IF(AND($B163&gt;='1331'!$I$9,$B163&lt;='1331'!$J$9,OR($J163=$S$7,$K163=$S$7)),"x","")</f>
        <v/>
      </c>
      <c r="T163" s="90" t="str">
        <f>IF(AND($J163=$S$7,$B163&lt;'1331'!$I$9),"x","")</f>
        <v/>
      </c>
      <c r="U163" s="90" t="str">
        <f>IF(AND($K163=$S$7,$B163&lt;'1331'!$I$9),"x","")</f>
        <v/>
      </c>
      <c r="V163" s="90" t="str">
        <f>IF(AND('3411-CT'!$E$9=TH!H163,OR(TH!J163=TH!$V$7,K163=TH!$V$7)),"x","")</f>
        <v/>
      </c>
      <c r="W163" s="90" t="str">
        <f>IF(OR(TH!J163=TH!$W$7,K163=TH!$W$7),"x","")</f>
        <v/>
      </c>
      <c r="X163" s="90" t="str">
        <f t="shared" si="7"/>
        <v>4</v>
      </c>
    </row>
    <row r="164" spans="1:24" s="77" customFormat="1" ht="15.75" customHeight="1">
      <c r="A164" s="158" t="str">
        <f>IF(B164&lt;&gt;"",IF(AND(B164&gt;=_TM1,B164&lt;=_TM2,OR(TH!J164="1111",TH!K164="1111")),TH!D164,""),"")</f>
        <v/>
      </c>
      <c r="B164" s="63">
        <f t="shared" si="6"/>
        <v>10</v>
      </c>
      <c r="C164" s="64">
        <v>41928</v>
      </c>
      <c r="D164" s="64" t="s">
        <v>8</v>
      </c>
      <c r="E164" s="64">
        <v>41928</v>
      </c>
      <c r="F164" s="67" t="s">
        <v>22</v>
      </c>
      <c r="G164" s="439"/>
      <c r="H164" s="79"/>
      <c r="I164" s="65">
        <v>9715</v>
      </c>
      <c r="J164" s="66" t="s">
        <v>10</v>
      </c>
      <c r="K164" s="66" t="s">
        <v>34</v>
      </c>
      <c r="L164" s="90" t="str">
        <f>IF(AND('331-CT'!$E$7=TH!H164,OR(J164="331",K164="331")),"x","")</f>
        <v/>
      </c>
      <c r="M164" s="90" t="str">
        <f>IF(AND($B164&gt;='1111'!$N$10,$B164&lt;='1111'!$O$10,OR($J164=$M$7,$K164=$M$7)),"x","")</f>
        <v/>
      </c>
      <c r="N164" s="90" t="str">
        <f>IF(AND($J164=$M$7,$B164&lt;'1111'!$N$10),"x","")</f>
        <v/>
      </c>
      <c r="O164" s="90" t="str">
        <f>IF(AND($K164=$M$7,$B164&lt;'1111'!$N$10),"x","")</f>
        <v/>
      </c>
      <c r="P164" s="90" t="str">
        <f>IF(AND($B164&gt;='1121'!$N$9,$B164&lt;='1121'!$O$9,OR($J164=$P$7,$K164=$P$7)),"x","")</f>
        <v>x</v>
      </c>
      <c r="Q164" s="90" t="str">
        <f>IF(AND($J164=$P$7,$B164&lt;'1121'!$N$9),"x","")</f>
        <v/>
      </c>
      <c r="R164" s="90" t="str">
        <f>IF(AND($K164=$P$7,$B164&lt;'1121'!$N$9),"x","")</f>
        <v/>
      </c>
      <c r="S164" s="90" t="str">
        <f>IF(AND($B164&gt;='1331'!$I$9,$B164&lt;='1331'!$J$9,OR($J164=$S$7,$K164=$S$7)),"x","")</f>
        <v/>
      </c>
      <c r="T164" s="90" t="str">
        <f>IF(AND($J164=$S$7,$B164&lt;'1331'!$I$9),"x","")</f>
        <v/>
      </c>
      <c r="U164" s="90" t="str">
        <f>IF(AND($K164=$S$7,$B164&lt;'1331'!$I$9),"x","")</f>
        <v/>
      </c>
      <c r="V164" s="90" t="str">
        <f>IF(AND('3411-CT'!$E$9=TH!H164,OR(TH!J164=TH!$V$7,K164=TH!$V$7)),"x","")</f>
        <v/>
      </c>
      <c r="W164" s="90" t="str">
        <f>IF(OR(TH!J164=TH!$W$7,K164=TH!$W$7),"x","")</f>
        <v/>
      </c>
      <c r="X164" s="90" t="str">
        <f t="shared" si="7"/>
        <v>4</v>
      </c>
    </row>
    <row r="165" spans="1:24" s="77" customFormat="1" ht="15.75" customHeight="1">
      <c r="A165" s="158" t="str">
        <f>IF(B165&lt;&gt;"",IF(AND(B165&gt;=_TM1,B165&lt;=_TM2,OR(TH!J165="1111",TH!K165="1111")),TH!D165,""),"")</f>
        <v>C01</v>
      </c>
      <c r="B165" s="63">
        <f t="shared" si="6"/>
        <v>10</v>
      </c>
      <c r="C165" s="64">
        <v>41929</v>
      </c>
      <c r="D165" s="64" t="s">
        <v>45</v>
      </c>
      <c r="E165" s="64">
        <v>41929</v>
      </c>
      <c r="F165" s="67" t="s">
        <v>192</v>
      </c>
      <c r="G165" s="439"/>
      <c r="H165" s="79" t="s">
        <v>164</v>
      </c>
      <c r="I165" s="65">
        <v>25000000</v>
      </c>
      <c r="J165" s="66" t="s">
        <v>23</v>
      </c>
      <c r="K165" s="66" t="s">
        <v>101</v>
      </c>
      <c r="L165" s="90" t="str">
        <f>IF(AND('331-CT'!$E$7=TH!H165,OR(J165="331",K165="331")),"x","")</f>
        <v/>
      </c>
      <c r="M165" s="90" t="str">
        <f>IF(AND($B165&gt;='1111'!$N$10,$B165&lt;='1111'!$O$10,OR($J165=$M$7,$K165=$M$7)),"x","")</f>
        <v/>
      </c>
      <c r="N165" s="90" t="str">
        <f>IF(AND($J165=$M$7,$B165&lt;'1111'!$N$10),"x","")</f>
        <v/>
      </c>
      <c r="O165" s="90" t="str">
        <f>IF(AND($K165=$M$7,$B165&lt;'1111'!$N$10),"x","")</f>
        <v/>
      </c>
      <c r="P165" s="90" t="str">
        <f>IF(AND($B165&gt;='1121'!$N$9,$B165&lt;='1121'!$O$9,OR($J165=$P$7,$K165=$P$7)),"x","")</f>
        <v/>
      </c>
      <c r="Q165" s="90" t="str">
        <f>IF(AND($J165=$P$7,$B165&lt;'1121'!$N$9),"x","")</f>
        <v/>
      </c>
      <c r="R165" s="90" t="str">
        <f>IF(AND($K165=$P$7,$B165&lt;'1121'!$N$9),"x","")</f>
        <v/>
      </c>
      <c r="S165" s="90" t="str">
        <f>IF(AND($B165&gt;='1331'!$I$9,$B165&lt;='1331'!$J$9,OR($J165=$S$7,$K165=$S$7)),"x","")</f>
        <v/>
      </c>
      <c r="T165" s="90" t="str">
        <f>IF(AND($J165=$S$7,$B165&lt;'1331'!$I$9),"x","")</f>
        <v/>
      </c>
      <c r="U165" s="90" t="str">
        <f>IF(AND($K165=$S$7,$B165&lt;'1331'!$I$9),"x","")</f>
        <v/>
      </c>
      <c r="V165" s="90" t="str">
        <f>IF(AND('3411-CT'!$E$9=TH!H165,OR(TH!J165=TH!$V$7,K165=TH!$V$7)),"x","")</f>
        <v/>
      </c>
      <c r="W165" s="90" t="str">
        <f>IF(OR(TH!J165=TH!$W$7,K165=TH!$W$7),"x","")</f>
        <v/>
      </c>
      <c r="X165" s="90" t="str">
        <f t="shared" si="7"/>
        <v>4</v>
      </c>
    </row>
    <row r="166" spans="1:24" s="77" customFormat="1" ht="15.75" customHeight="1">
      <c r="A166" s="158" t="str">
        <f>IF(B166&lt;&gt;"",IF(AND(B166&gt;=_TM1,B166&lt;=_TM2,OR(TH!J166="1111",TH!K166="1111")),TH!D166,""),"")</f>
        <v/>
      </c>
      <c r="B166" s="63">
        <f t="shared" si="6"/>
        <v>10</v>
      </c>
      <c r="C166" s="64">
        <v>41929</v>
      </c>
      <c r="D166" s="64" t="s">
        <v>11</v>
      </c>
      <c r="E166" s="64">
        <v>41929</v>
      </c>
      <c r="F166" s="67" t="s">
        <v>27</v>
      </c>
      <c r="G166" s="439"/>
      <c r="H166" s="79" t="s">
        <v>164</v>
      </c>
      <c r="I166" s="65">
        <v>25000000</v>
      </c>
      <c r="J166" s="66" t="s">
        <v>34</v>
      </c>
      <c r="K166" s="66" t="s">
        <v>23</v>
      </c>
      <c r="L166" s="90" t="str">
        <f>IF(AND('331-CT'!$E$7=TH!H166,OR(J166="331",K166="331")),"x","")</f>
        <v/>
      </c>
      <c r="M166" s="90" t="str">
        <f>IF(AND($B166&gt;='1111'!$N$10,$B166&lt;='1111'!$O$10,OR($J166=$M$7,$K166=$M$7)),"x","")</f>
        <v/>
      </c>
      <c r="N166" s="90" t="str">
        <f>IF(AND($J166=$M$7,$B166&lt;'1111'!$N$10),"x","")</f>
        <v/>
      </c>
      <c r="O166" s="90" t="str">
        <f>IF(AND($K166=$M$7,$B166&lt;'1111'!$N$10),"x","")</f>
        <v/>
      </c>
      <c r="P166" s="90" t="str">
        <f>IF(AND($B166&gt;='1121'!$N$9,$B166&lt;='1121'!$O$9,OR($J166=$P$7,$K166=$P$7)),"x","")</f>
        <v>x</v>
      </c>
      <c r="Q166" s="90" t="str">
        <f>IF(AND($J166=$P$7,$B166&lt;'1121'!$N$9),"x","")</f>
        <v/>
      </c>
      <c r="R166" s="90" t="str">
        <f>IF(AND($K166=$P$7,$B166&lt;'1121'!$N$9),"x","")</f>
        <v/>
      </c>
      <c r="S166" s="90" t="str">
        <f>IF(AND($B166&gt;='1331'!$I$9,$B166&lt;='1331'!$J$9,OR($J166=$S$7,$K166=$S$7)),"x","")</f>
        <v/>
      </c>
      <c r="T166" s="90" t="str">
        <f>IF(AND($J166=$S$7,$B166&lt;'1331'!$I$9),"x","")</f>
        <v/>
      </c>
      <c r="U166" s="90" t="str">
        <f>IF(AND($K166=$S$7,$B166&lt;'1331'!$I$9),"x","")</f>
        <v/>
      </c>
      <c r="V166" s="90" t="str">
        <f>IF(AND('3411-CT'!$E$9=TH!H166,OR(TH!J166=TH!$V$7,K166=TH!$V$7)),"x","")</f>
        <v/>
      </c>
      <c r="W166" s="90" t="str">
        <f>IF(OR(TH!J166=TH!$W$7,K166=TH!$W$7),"x","")</f>
        <v/>
      </c>
      <c r="X166" s="90" t="str">
        <f t="shared" si="7"/>
        <v>4</v>
      </c>
    </row>
    <row r="167" spans="1:24" s="77" customFormat="1" ht="15.75" customHeight="1">
      <c r="A167" s="158" t="str">
        <f>IF(B167&lt;&gt;"",IF(AND(B167&gt;=_TM1,B167&lt;=_TM2,OR(TH!J167="1111",TH!K167="1111")),TH!D167,""),"")</f>
        <v/>
      </c>
      <c r="B167" s="63">
        <f t="shared" si="6"/>
        <v>10</v>
      </c>
      <c r="C167" s="64">
        <v>41932</v>
      </c>
      <c r="D167" s="64" t="s">
        <v>8</v>
      </c>
      <c r="E167" s="64">
        <v>41932</v>
      </c>
      <c r="F167" s="67" t="s">
        <v>76</v>
      </c>
      <c r="G167" s="439"/>
      <c r="H167" s="79" t="s">
        <v>166</v>
      </c>
      <c r="I167" s="65">
        <v>8333333</v>
      </c>
      <c r="J167" s="66" t="s">
        <v>138</v>
      </c>
      <c r="K167" s="66" t="s">
        <v>34</v>
      </c>
      <c r="L167" s="90" t="str">
        <f>IF(AND('331-CT'!$E$7=TH!H167,OR(J167="331",K167="331")),"x","")</f>
        <v/>
      </c>
      <c r="M167" s="90" t="str">
        <f>IF(AND($B167&gt;='1111'!$N$10,$B167&lt;='1111'!$O$10,OR($J167=$M$7,$K167=$M$7)),"x","")</f>
        <v/>
      </c>
      <c r="N167" s="90" t="str">
        <f>IF(AND($J167=$M$7,$B167&lt;'1111'!$N$10),"x","")</f>
        <v/>
      </c>
      <c r="O167" s="90" t="str">
        <f>IF(AND($K167=$M$7,$B167&lt;'1111'!$N$10),"x","")</f>
        <v/>
      </c>
      <c r="P167" s="90" t="str">
        <f>IF(AND($B167&gt;='1121'!$N$9,$B167&lt;='1121'!$O$9,OR($J167=$P$7,$K167=$P$7)),"x","")</f>
        <v>x</v>
      </c>
      <c r="Q167" s="90" t="str">
        <f>IF(AND($J167=$P$7,$B167&lt;'1121'!$N$9),"x","")</f>
        <v/>
      </c>
      <c r="R167" s="90" t="str">
        <f>IF(AND($K167=$P$7,$B167&lt;'1121'!$N$9),"x","")</f>
        <v/>
      </c>
      <c r="S167" s="90" t="str">
        <f>IF(AND($B167&gt;='1331'!$I$9,$B167&lt;='1331'!$J$9,OR($J167=$S$7,$K167=$S$7)),"x","")</f>
        <v/>
      </c>
      <c r="T167" s="90" t="str">
        <f>IF(AND($J167=$S$7,$B167&lt;'1331'!$I$9),"x","")</f>
        <v/>
      </c>
      <c r="U167" s="90" t="str">
        <f>IF(AND($K167=$S$7,$B167&lt;'1331'!$I$9),"x","")</f>
        <v/>
      </c>
      <c r="V167" s="90" t="str">
        <f>IF(AND('3411-CT'!$E$9=TH!H167,OR(TH!J167=TH!$V$7,K167=TH!$V$7)),"x","")</f>
        <v/>
      </c>
      <c r="W167" s="90" t="str">
        <f>IF(OR(TH!J167=TH!$W$7,K167=TH!$W$7),"x","")</f>
        <v/>
      </c>
      <c r="X167" s="90" t="str">
        <f t="shared" si="7"/>
        <v>4</v>
      </c>
    </row>
    <row r="168" spans="1:24" s="77" customFormat="1" ht="15.75" customHeight="1">
      <c r="A168" s="158" t="str">
        <f>IF(B168&lt;&gt;"",IF(AND(B168&gt;=_TM1,B168&lt;=_TM2,OR(TH!J168="1111",TH!K168="1111")),TH!D168,""),"")</f>
        <v/>
      </c>
      <c r="B168" s="63">
        <f t="shared" si="6"/>
        <v>10</v>
      </c>
      <c r="C168" s="64">
        <v>41933</v>
      </c>
      <c r="D168" s="64" t="s">
        <v>49</v>
      </c>
      <c r="E168" s="64">
        <v>41933</v>
      </c>
      <c r="F168" s="67" t="s">
        <v>335</v>
      </c>
      <c r="G168" s="439" t="s">
        <v>336</v>
      </c>
      <c r="H168" s="79" t="s">
        <v>59</v>
      </c>
      <c r="I168" s="65">
        <v>262727273</v>
      </c>
      <c r="J168" s="66" t="s">
        <v>214</v>
      </c>
      <c r="K168" s="66" t="s">
        <v>9</v>
      </c>
      <c r="L168" s="90" t="str">
        <f>IF(AND('331-CT'!$E$7=TH!H168,OR(J168="331",K168="331")),"x","")</f>
        <v/>
      </c>
      <c r="M168" s="90" t="str">
        <f>IF(AND($B168&gt;='1111'!$N$10,$B168&lt;='1111'!$O$10,OR($J168=$M$7,$K168=$M$7)),"x","")</f>
        <v/>
      </c>
      <c r="N168" s="90" t="str">
        <f>IF(AND($J168=$M$7,$B168&lt;'1111'!$N$10),"x","")</f>
        <v/>
      </c>
      <c r="O168" s="90" t="str">
        <f>IF(AND($K168=$M$7,$B168&lt;'1111'!$N$10),"x","")</f>
        <v/>
      </c>
      <c r="P168" s="90" t="str">
        <f>IF(AND($B168&gt;='1121'!$N$9,$B168&lt;='1121'!$O$9,OR($J168=$P$7,$K168=$P$7)),"x","")</f>
        <v/>
      </c>
      <c r="Q168" s="90" t="str">
        <f>IF(AND($J168=$P$7,$B168&lt;'1121'!$N$9),"x","")</f>
        <v/>
      </c>
      <c r="R168" s="90" t="str">
        <f>IF(AND($K168=$P$7,$B168&lt;'1121'!$N$9),"x","")</f>
        <v/>
      </c>
      <c r="S168" s="90" t="str">
        <f>IF(AND($B168&gt;='1331'!$I$9,$B168&lt;='1331'!$J$9,OR($J168=$S$7,$K168=$S$7)),"x","")</f>
        <v/>
      </c>
      <c r="T168" s="90" t="str">
        <f>IF(AND($J168=$S$7,$B168&lt;'1331'!$I$9),"x","")</f>
        <v/>
      </c>
      <c r="U168" s="90" t="str">
        <f>IF(AND($K168=$S$7,$B168&lt;'1331'!$I$9),"x","")</f>
        <v/>
      </c>
      <c r="V168" s="90" t="str">
        <f>IF(AND('3411-CT'!$E$9=TH!H168,OR(TH!J168=TH!$V$7,K168=TH!$V$7)),"x","")</f>
        <v/>
      </c>
      <c r="W168" s="90" t="str">
        <f>IF(OR(TH!J168=TH!$W$7,K168=TH!$W$7),"x","")</f>
        <v/>
      </c>
      <c r="X168" s="90" t="str">
        <f t="shared" si="7"/>
        <v>4</v>
      </c>
    </row>
    <row r="169" spans="1:24" s="77" customFormat="1" ht="15.75" customHeight="1">
      <c r="A169" s="158" t="str">
        <f>IF(B169&lt;&gt;"",IF(AND(B169&gt;=_TM1,B169&lt;=_TM2,OR(TH!J169="1111",TH!K169="1111")),TH!D169,""),"")</f>
        <v/>
      </c>
      <c r="B169" s="63">
        <f t="shared" si="6"/>
        <v>10</v>
      </c>
      <c r="C169" s="64">
        <v>41933</v>
      </c>
      <c r="D169" s="64" t="s">
        <v>49</v>
      </c>
      <c r="E169" s="64">
        <v>41933</v>
      </c>
      <c r="F169" s="67" t="s">
        <v>337</v>
      </c>
      <c r="G169" s="439" t="s">
        <v>336</v>
      </c>
      <c r="H169" s="7" t="s">
        <v>59</v>
      </c>
      <c r="I169" s="65">
        <v>26272727</v>
      </c>
      <c r="J169" s="66" t="s">
        <v>10</v>
      </c>
      <c r="K169" s="66" t="s">
        <v>9</v>
      </c>
      <c r="L169" s="90" t="str">
        <f>IF(AND('331-CT'!$E$7=TH!H169,OR(J169="331",K169="331")),"x","")</f>
        <v/>
      </c>
      <c r="M169" s="90" t="str">
        <f>IF(AND($B169&gt;='1111'!$N$10,$B169&lt;='1111'!$O$10,OR($J169=$M$7,$K169=$M$7)),"x","")</f>
        <v/>
      </c>
      <c r="N169" s="90" t="str">
        <f>IF(AND($J169=$M$7,$B169&lt;'1111'!$N$10),"x","")</f>
        <v/>
      </c>
      <c r="O169" s="90" t="str">
        <f>IF(AND($K169=$M$7,$B169&lt;'1111'!$N$10),"x","")</f>
        <v/>
      </c>
      <c r="P169" s="90" t="str">
        <f>IF(AND($B169&gt;='1121'!$N$9,$B169&lt;='1121'!$O$9,OR($J169=$P$7,$K169=$P$7)),"x","")</f>
        <v/>
      </c>
      <c r="Q169" s="90" t="str">
        <f>IF(AND($J169=$P$7,$B169&lt;'1121'!$N$9),"x","")</f>
        <v/>
      </c>
      <c r="R169" s="90" t="str">
        <f>IF(AND($K169=$P$7,$B169&lt;'1121'!$N$9),"x","")</f>
        <v/>
      </c>
      <c r="S169" s="90" t="str">
        <f>IF(AND($B169&gt;='1331'!$I$9,$B169&lt;='1331'!$J$9,OR($J169=$S$7,$K169=$S$7)),"x","")</f>
        <v/>
      </c>
      <c r="T169" s="90" t="str">
        <f>IF(AND($J169=$S$7,$B169&lt;'1331'!$I$9),"x","")</f>
        <v/>
      </c>
      <c r="U169" s="90" t="str">
        <f>IF(AND($K169=$S$7,$B169&lt;'1331'!$I$9),"x","")</f>
        <v/>
      </c>
      <c r="V169" s="90" t="str">
        <f>IF(AND('3411-CT'!$E$9=TH!H169,OR(TH!J169=TH!$V$7,K169=TH!$V$7)),"x","")</f>
        <v/>
      </c>
      <c r="W169" s="90" t="str">
        <f>IF(OR(TH!J169=TH!$W$7,K169=TH!$W$7),"x","")</f>
        <v/>
      </c>
      <c r="X169" s="90" t="str">
        <f t="shared" si="7"/>
        <v>4</v>
      </c>
    </row>
    <row r="170" spans="1:24" s="77" customFormat="1" ht="15.75" customHeight="1">
      <c r="A170" s="158" t="str">
        <f>IF(B170&lt;&gt;"",IF(AND(B170&gt;=_TM1,B170&lt;=_TM2,OR(TH!J170="1111",TH!K170="1111")),TH!D170,""),"")</f>
        <v/>
      </c>
      <c r="B170" s="63">
        <f t="shared" si="6"/>
        <v>10</v>
      </c>
      <c r="C170" s="64">
        <v>41934</v>
      </c>
      <c r="D170" s="64" t="s">
        <v>49</v>
      </c>
      <c r="E170" s="64">
        <v>41934</v>
      </c>
      <c r="F170" s="67" t="s">
        <v>338</v>
      </c>
      <c r="G170" s="439" t="s">
        <v>339</v>
      </c>
      <c r="H170" s="79" t="s">
        <v>54</v>
      </c>
      <c r="I170" s="65">
        <v>31280000</v>
      </c>
      <c r="J170" s="66" t="s">
        <v>140</v>
      </c>
      <c r="K170" s="66" t="s">
        <v>9</v>
      </c>
      <c r="L170" s="90" t="str">
        <f>IF(AND('331-CT'!$E$7=TH!H170,OR(J170="331",K170="331")),"x","")</f>
        <v/>
      </c>
      <c r="M170" s="90" t="str">
        <f>IF(AND($B170&gt;='1111'!$N$10,$B170&lt;='1111'!$O$10,OR($J170=$M$7,$K170=$M$7)),"x","")</f>
        <v/>
      </c>
      <c r="N170" s="90" t="str">
        <f>IF(AND($J170=$M$7,$B170&lt;'1111'!$N$10),"x","")</f>
        <v/>
      </c>
      <c r="O170" s="90" t="str">
        <f>IF(AND($K170=$M$7,$B170&lt;'1111'!$N$10),"x","")</f>
        <v/>
      </c>
      <c r="P170" s="90" t="str">
        <f>IF(AND($B170&gt;='1121'!$N$9,$B170&lt;='1121'!$O$9,OR($J170=$P$7,$K170=$P$7)),"x","")</f>
        <v/>
      </c>
      <c r="Q170" s="90" t="str">
        <f>IF(AND($J170=$P$7,$B170&lt;'1121'!$N$9),"x","")</f>
        <v/>
      </c>
      <c r="R170" s="90" t="str">
        <f>IF(AND($K170=$P$7,$B170&lt;'1121'!$N$9),"x","")</f>
        <v/>
      </c>
      <c r="S170" s="90" t="str">
        <f>IF(AND($B170&gt;='1331'!$I$9,$B170&lt;='1331'!$J$9,OR($J170=$S$7,$K170=$S$7)),"x","")</f>
        <v/>
      </c>
      <c r="T170" s="90" t="str">
        <f>IF(AND($J170=$S$7,$B170&lt;'1331'!$I$9),"x","")</f>
        <v/>
      </c>
      <c r="U170" s="90" t="str">
        <f>IF(AND($K170=$S$7,$B170&lt;'1331'!$I$9),"x","")</f>
        <v/>
      </c>
      <c r="V170" s="90" t="str">
        <f>IF(AND('3411-CT'!$E$9=TH!H170,OR(TH!J170=TH!$V$7,K170=TH!$V$7)),"x","")</f>
        <v/>
      </c>
      <c r="W170" s="90" t="str">
        <f>IF(OR(TH!J170=TH!$W$7,K170=TH!$W$7),"x","")</f>
        <v/>
      </c>
      <c r="X170" s="90" t="str">
        <f t="shared" si="7"/>
        <v>4</v>
      </c>
    </row>
    <row r="171" spans="1:24" s="77" customFormat="1" ht="15.75" customHeight="1">
      <c r="A171" s="158" t="str">
        <f>IF(B171&lt;&gt;"",IF(AND(B171&gt;=_TM1,B171&lt;=_TM2,OR(TH!J171="1111",TH!K171="1111")),TH!D171,""),"")</f>
        <v/>
      </c>
      <c r="B171" s="63">
        <f t="shared" si="6"/>
        <v>10</v>
      </c>
      <c r="C171" s="64">
        <v>41934</v>
      </c>
      <c r="D171" s="64" t="s">
        <v>49</v>
      </c>
      <c r="E171" s="64">
        <v>41934</v>
      </c>
      <c r="F171" s="67" t="s">
        <v>309</v>
      </c>
      <c r="G171" s="439" t="s">
        <v>339</v>
      </c>
      <c r="H171" s="79" t="s">
        <v>54</v>
      </c>
      <c r="I171" s="65">
        <v>3128000</v>
      </c>
      <c r="J171" s="66" t="s">
        <v>10</v>
      </c>
      <c r="K171" s="66" t="s">
        <v>9</v>
      </c>
      <c r="L171" s="90" t="str">
        <f>IF(AND('331-CT'!$E$7=TH!H171,OR(J171="331",K171="331")),"x","")</f>
        <v/>
      </c>
      <c r="M171" s="90" t="str">
        <f>IF(AND($B171&gt;='1111'!$N$10,$B171&lt;='1111'!$O$10,OR($J171=$M$7,$K171=$M$7)),"x","")</f>
        <v/>
      </c>
      <c r="N171" s="90" t="str">
        <f>IF(AND($J171=$M$7,$B171&lt;'1111'!$N$10),"x","")</f>
        <v/>
      </c>
      <c r="O171" s="90" t="str">
        <f>IF(AND($K171=$M$7,$B171&lt;'1111'!$N$10),"x","")</f>
        <v/>
      </c>
      <c r="P171" s="90" t="str">
        <f>IF(AND($B171&gt;='1121'!$N$9,$B171&lt;='1121'!$O$9,OR($J171=$P$7,$K171=$P$7)),"x","")</f>
        <v/>
      </c>
      <c r="Q171" s="90" t="str">
        <f>IF(AND($J171=$P$7,$B171&lt;'1121'!$N$9),"x","")</f>
        <v/>
      </c>
      <c r="R171" s="90" t="str">
        <f>IF(AND($K171=$P$7,$B171&lt;'1121'!$N$9),"x","")</f>
        <v/>
      </c>
      <c r="S171" s="90" t="str">
        <f>IF(AND($B171&gt;='1331'!$I$9,$B171&lt;='1331'!$J$9,OR($J171=$S$7,$K171=$S$7)),"x","")</f>
        <v/>
      </c>
      <c r="T171" s="90" t="str">
        <f>IF(AND($J171=$S$7,$B171&lt;'1331'!$I$9),"x","")</f>
        <v/>
      </c>
      <c r="U171" s="90" t="str">
        <f>IF(AND($K171=$S$7,$B171&lt;'1331'!$I$9),"x","")</f>
        <v/>
      </c>
      <c r="V171" s="90" t="str">
        <f>IF(AND('3411-CT'!$E$9=TH!H171,OR(TH!J171=TH!$V$7,K171=TH!$V$7)),"x","")</f>
        <v/>
      </c>
      <c r="W171" s="90" t="str">
        <f>IF(OR(TH!J171=TH!$W$7,K171=TH!$W$7),"x","")</f>
        <v/>
      </c>
      <c r="X171" s="90" t="str">
        <f t="shared" si="7"/>
        <v>4</v>
      </c>
    </row>
    <row r="172" spans="1:24" s="77" customFormat="1" ht="15.75" customHeight="1">
      <c r="A172" s="158" t="str">
        <f>IF(B172&lt;&gt;"",IF(AND(B172&gt;=_TM1,B172&lt;=_TM2,OR(TH!J172="1111",TH!K172="1111")),TH!D172,""),"")</f>
        <v/>
      </c>
      <c r="B172" s="63">
        <f t="shared" si="6"/>
        <v>10</v>
      </c>
      <c r="C172" s="64">
        <v>41934</v>
      </c>
      <c r="D172" s="64" t="s">
        <v>11</v>
      </c>
      <c r="E172" s="64">
        <v>41934</v>
      </c>
      <c r="F172" s="67" t="s">
        <v>340</v>
      </c>
      <c r="G172" s="439"/>
      <c r="H172" s="7" t="s">
        <v>169</v>
      </c>
      <c r="I172" s="65">
        <v>1600000000</v>
      </c>
      <c r="J172" s="66" t="s">
        <v>34</v>
      </c>
      <c r="K172" s="66" t="s">
        <v>125</v>
      </c>
      <c r="L172" s="90" t="str">
        <f>IF(AND('331-CT'!$E$7=TH!H172,OR(J172="331",K172="331")),"x","")</f>
        <v/>
      </c>
      <c r="M172" s="90" t="str">
        <f>IF(AND($B172&gt;='1111'!$N$10,$B172&lt;='1111'!$O$10,OR($J172=$M$7,$K172=$M$7)),"x","")</f>
        <v/>
      </c>
      <c r="N172" s="90" t="str">
        <f>IF(AND($J172=$M$7,$B172&lt;'1111'!$N$10),"x","")</f>
        <v/>
      </c>
      <c r="O172" s="90" t="str">
        <f>IF(AND($K172=$M$7,$B172&lt;'1111'!$N$10),"x","")</f>
        <v/>
      </c>
      <c r="P172" s="90" t="str">
        <f>IF(AND($B172&gt;='1121'!$N$9,$B172&lt;='1121'!$O$9,OR($J172=$P$7,$K172=$P$7)),"x","")</f>
        <v>x</v>
      </c>
      <c r="Q172" s="90" t="str">
        <f>IF(AND($J172=$P$7,$B172&lt;'1121'!$N$9),"x","")</f>
        <v/>
      </c>
      <c r="R172" s="90" t="str">
        <f>IF(AND($K172=$P$7,$B172&lt;'1121'!$N$9),"x","")</f>
        <v/>
      </c>
      <c r="S172" s="90" t="str">
        <f>IF(AND($B172&gt;='1331'!$I$9,$B172&lt;='1331'!$J$9,OR($J172=$S$7,$K172=$S$7)),"x","")</f>
        <v/>
      </c>
      <c r="T172" s="90" t="str">
        <f>IF(AND($J172=$S$7,$B172&lt;'1331'!$I$9),"x","")</f>
        <v/>
      </c>
      <c r="U172" s="90" t="str">
        <f>IF(AND($K172=$S$7,$B172&lt;'1331'!$I$9),"x","")</f>
        <v/>
      </c>
      <c r="V172" s="90" t="str">
        <f>IF(AND('3411-CT'!$E$9=TH!H172,OR(TH!J172=TH!$V$7,K172=TH!$V$7)),"x","")</f>
        <v/>
      </c>
      <c r="W172" s="90" t="str">
        <f>IF(OR(TH!J172=TH!$W$7,K172=TH!$W$7),"x","")</f>
        <v/>
      </c>
      <c r="X172" s="90" t="str">
        <f t="shared" si="7"/>
        <v>4</v>
      </c>
    </row>
    <row r="173" spans="1:24" s="77" customFormat="1" ht="15.75" customHeight="1">
      <c r="A173" s="158" t="str">
        <f>IF(B173&lt;&gt;"",IF(AND(B173&gt;=_TM1,B173&lt;=_TM2,OR(TH!J173="1111",TH!K173="1111")),TH!D173,""),"")</f>
        <v/>
      </c>
      <c r="B173" s="63">
        <f t="shared" si="6"/>
        <v>10</v>
      </c>
      <c r="C173" s="64">
        <v>41935</v>
      </c>
      <c r="D173" s="64" t="s">
        <v>8</v>
      </c>
      <c r="E173" s="64">
        <v>41935</v>
      </c>
      <c r="F173" s="67" t="s">
        <v>301</v>
      </c>
      <c r="G173" s="439"/>
      <c r="H173" s="79" t="s">
        <v>55</v>
      </c>
      <c r="I173" s="65">
        <v>1500000000</v>
      </c>
      <c r="J173" s="66" t="s">
        <v>9</v>
      </c>
      <c r="K173" s="66" t="s">
        <v>34</v>
      </c>
      <c r="L173" s="90" t="str">
        <f>IF(AND('331-CT'!$E$7=TH!H173,OR(J173="331",K173="331")),"x","")</f>
        <v/>
      </c>
      <c r="M173" s="90" t="str">
        <f>IF(AND($B173&gt;='1111'!$N$10,$B173&lt;='1111'!$O$10,OR($J173=$M$7,$K173=$M$7)),"x","")</f>
        <v/>
      </c>
      <c r="N173" s="90" t="str">
        <f>IF(AND($J173=$M$7,$B173&lt;'1111'!$N$10),"x","")</f>
        <v/>
      </c>
      <c r="O173" s="90" t="str">
        <f>IF(AND($K173=$M$7,$B173&lt;'1111'!$N$10),"x","")</f>
        <v/>
      </c>
      <c r="P173" s="90" t="str">
        <f>IF(AND($B173&gt;='1121'!$N$9,$B173&lt;='1121'!$O$9,OR($J173=$P$7,$K173=$P$7)),"x","")</f>
        <v>x</v>
      </c>
      <c r="Q173" s="90" t="str">
        <f>IF(AND($J173=$P$7,$B173&lt;'1121'!$N$9),"x","")</f>
        <v/>
      </c>
      <c r="R173" s="90" t="str">
        <f>IF(AND($K173=$P$7,$B173&lt;'1121'!$N$9),"x","")</f>
        <v/>
      </c>
      <c r="S173" s="90" t="str">
        <f>IF(AND($B173&gt;='1331'!$I$9,$B173&lt;='1331'!$J$9,OR($J173=$S$7,$K173=$S$7)),"x","")</f>
        <v/>
      </c>
      <c r="T173" s="90" t="str">
        <f>IF(AND($J173=$S$7,$B173&lt;'1331'!$I$9),"x","")</f>
        <v/>
      </c>
      <c r="U173" s="90" t="str">
        <f>IF(AND($K173=$S$7,$B173&lt;'1331'!$I$9),"x","")</f>
        <v/>
      </c>
      <c r="V173" s="90" t="str">
        <f>IF(AND('3411-CT'!$E$9=TH!H173,OR(TH!J173=TH!$V$7,K173=TH!$V$7)),"x","")</f>
        <v/>
      </c>
      <c r="W173" s="90" t="str">
        <f>IF(OR(TH!J173=TH!$W$7,K173=TH!$W$7),"x","")</f>
        <v/>
      </c>
      <c r="X173" s="90" t="str">
        <f t="shared" si="7"/>
        <v>4</v>
      </c>
    </row>
    <row r="174" spans="1:24" ht="15.75" customHeight="1">
      <c r="A174" s="158" t="str">
        <f>IF(B174&lt;&gt;"",IF(AND(B174&gt;=_TM1,B174&lt;=_TM2,OR(TH!J174="1111",TH!K174="1111")),TH!D174,""),"")</f>
        <v/>
      </c>
      <c r="B174" s="63">
        <f t="shared" si="6"/>
        <v>10</v>
      </c>
      <c r="C174" s="64">
        <v>41935</v>
      </c>
      <c r="D174" s="64" t="s">
        <v>8</v>
      </c>
      <c r="E174" s="64">
        <v>41935</v>
      </c>
      <c r="F174" s="67" t="s">
        <v>21</v>
      </c>
      <c r="G174" s="439"/>
      <c r="H174" s="79"/>
      <c r="I174" s="65">
        <v>750000</v>
      </c>
      <c r="J174" s="66" t="s">
        <v>140</v>
      </c>
      <c r="K174" s="66" t="s">
        <v>34</v>
      </c>
      <c r="L174" s="90" t="str">
        <f>IF(AND('331-CT'!$E$7=TH!H174,OR(J174="331",K174="331")),"x","")</f>
        <v/>
      </c>
      <c r="M174" s="90" t="str">
        <f>IF(AND($B174&gt;='1111'!$N$10,$B174&lt;='1111'!$O$10,OR($J174=$M$7,$K174=$M$7)),"x","")</f>
        <v/>
      </c>
      <c r="N174" s="90" t="str">
        <f>IF(AND($J174=$M$7,$B174&lt;'1111'!$N$10),"x","")</f>
        <v/>
      </c>
      <c r="O174" s="90" t="str">
        <f>IF(AND($K174=$M$7,$B174&lt;'1111'!$N$10),"x","")</f>
        <v/>
      </c>
      <c r="P174" s="90" t="str">
        <f>IF(AND($B174&gt;='1121'!$N$9,$B174&lt;='1121'!$O$9,OR($J174=$P$7,$K174=$P$7)),"x","")</f>
        <v>x</v>
      </c>
      <c r="Q174" s="90" t="str">
        <f>IF(AND($J174=$P$7,$B174&lt;'1121'!$N$9),"x","")</f>
        <v/>
      </c>
      <c r="R174" s="90" t="str">
        <f>IF(AND($K174=$P$7,$B174&lt;'1121'!$N$9),"x","")</f>
        <v/>
      </c>
      <c r="S174" s="90" t="str">
        <f>IF(AND($B174&gt;='1331'!$I$9,$B174&lt;='1331'!$J$9,OR($J174=$S$7,$K174=$S$7)),"x","")</f>
        <v/>
      </c>
      <c r="T174" s="90" t="str">
        <f>IF(AND($J174=$S$7,$B174&lt;'1331'!$I$9),"x","")</f>
        <v/>
      </c>
      <c r="U174" s="90" t="str">
        <f>IF(AND($K174=$S$7,$B174&lt;'1331'!$I$9),"x","")</f>
        <v/>
      </c>
      <c r="V174" s="90" t="str">
        <f>IF(AND('3411-CT'!$E$9=TH!H174,OR(TH!J174=TH!$V$7,K174=TH!$V$7)),"x","")</f>
        <v/>
      </c>
      <c r="W174" s="90" t="str">
        <f>IF(OR(TH!J174=TH!$W$7,K174=TH!$W$7),"x","")</f>
        <v/>
      </c>
      <c r="X174" s="90" t="str">
        <f t="shared" si="7"/>
        <v>4</v>
      </c>
    </row>
    <row r="175" spans="1:24" ht="15.75" customHeight="1">
      <c r="A175" s="158" t="str">
        <f>IF(B175&lt;&gt;"",IF(AND(B175&gt;=_TM1,B175&lt;=_TM2,OR(TH!J175="1111",TH!K175="1111")),TH!D175,""),"")</f>
        <v/>
      </c>
      <c r="B175" s="63">
        <f t="shared" si="6"/>
        <v>10</v>
      </c>
      <c r="C175" s="64">
        <v>41935</v>
      </c>
      <c r="D175" s="64" t="s">
        <v>8</v>
      </c>
      <c r="E175" s="64">
        <v>41935</v>
      </c>
      <c r="F175" s="67" t="s">
        <v>22</v>
      </c>
      <c r="G175" s="439"/>
      <c r="H175" s="7"/>
      <c r="I175" s="65">
        <v>75000</v>
      </c>
      <c r="J175" s="66" t="s">
        <v>10</v>
      </c>
      <c r="K175" s="66" t="s">
        <v>34</v>
      </c>
      <c r="L175" s="90" t="str">
        <f>IF(AND('331-CT'!$E$7=TH!H175,OR(J175="331",K175="331")),"x","")</f>
        <v/>
      </c>
      <c r="M175" s="90" t="str">
        <f>IF(AND($B175&gt;='1111'!$N$10,$B175&lt;='1111'!$O$10,OR($J175=$M$7,$K175=$M$7)),"x","")</f>
        <v/>
      </c>
      <c r="N175" s="90" t="str">
        <f>IF(AND($J175=$M$7,$B175&lt;'1111'!$N$10),"x","")</f>
        <v/>
      </c>
      <c r="O175" s="90" t="str">
        <f>IF(AND($K175=$M$7,$B175&lt;'1111'!$N$10),"x","")</f>
        <v/>
      </c>
      <c r="P175" s="90" t="str">
        <f>IF(AND($B175&gt;='1121'!$N$9,$B175&lt;='1121'!$O$9,OR($J175=$P$7,$K175=$P$7)),"x","")</f>
        <v>x</v>
      </c>
      <c r="Q175" s="90" t="str">
        <f>IF(AND($J175=$P$7,$B175&lt;'1121'!$N$9),"x","")</f>
        <v/>
      </c>
      <c r="R175" s="90" t="str">
        <f>IF(AND($K175=$P$7,$B175&lt;'1121'!$N$9),"x","")</f>
        <v/>
      </c>
      <c r="S175" s="90" t="str">
        <f>IF(AND($B175&gt;='1331'!$I$9,$B175&lt;='1331'!$J$9,OR($J175=$S$7,$K175=$S$7)),"x","")</f>
        <v/>
      </c>
      <c r="T175" s="90" t="str">
        <f>IF(AND($J175=$S$7,$B175&lt;'1331'!$I$9),"x","")</f>
        <v/>
      </c>
      <c r="U175" s="90" t="str">
        <f>IF(AND($K175=$S$7,$B175&lt;'1331'!$I$9),"x","")</f>
        <v/>
      </c>
      <c r="V175" s="90" t="str">
        <f>IF(AND('3411-CT'!$E$9=TH!H175,OR(TH!J175=TH!$V$7,K175=TH!$V$7)),"x","")</f>
        <v/>
      </c>
      <c r="W175" s="90" t="str">
        <f>IF(OR(TH!J175=TH!$W$7,K175=TH!$W$7),"x","")</f>
        <v/>
      </c>
      <c r="X175" s="90" t="str">
        <f t="shared" si="7"/>
        <v>4</v>
      </c>
    </row>
    <row r="176" spans="1:24" ht="15.75" customHeight="1">
      <c r="A176" s="158" t="str">
        <f>IF(B176&lt;&gt;"",IF(AND(B176&gt;=_TM1,B176&lt;=_TM2,OR(TH!J176="1111",TH!K176="1111")),TH!D176,""),"")</f>
        <v/>
      </c>
      <c r="B176" s="63">
        <f t="shared" si="6"/>
        <v>10</v>
      </c>
      <c r="C176" s="64">
        <v>41936</v>
      </c>
      <c r="D176" s="64" t="s">
        <v>11</v>
      </c>
      <c r="E176" s="64">
        <v>41936</v>
      </c>
      <c r="F176" s="67" t="s">
        <v>66</v>
      </c>
      <c r="G176" s="439"/>
      <c r="H176" s="79"/>
      <c r="I176" s="65">
        <v>322248</v>
      </c>
      <c r="J176" s="66" t="s">
        <v>34</v>
      </c>
      <c r="K176" s="66" t="s">
        <v>67</v>
      </c>
      <c r="L176" s="90" t="str">
        <f>IF(AND('331-CT'!$E$7=TH!H176,OR(J176="331",K176="331")),"x","")</f>
        <v/>
      </c>
      <c r="M176" s="90" t="str">
        <f>IF(AND($B176&gt;='1111'!$N$10,$B176&lt;='1111'!$O$10,OR($J176=$M$7,$K176=$M$7)),"x","")</f>
        <v/>
      </c>
      <c r="N176" s="90" t="str">
        <f>IF(AND($J176=$M$7,$B176&lt;'1111'!$N$10),"x","")</f>
        <v/>
      </c>
      <c r="O176" s="90" t="str">
        <f>IF(AND($K176=$M$7,$B176&lt;'1111'!$N$10),"x","")</f>
        <v/>
      </c>
      <c r="P176" s="90" t="str">
        <f>IF(AND($B176&gt;='1121'!$N$9,$B176&lt;='1121'!$O$9,OR($J176=$P$7,$K176=$P$7)),"x","")</f>
        <v>x</v>
      </c>
      <c r="Q176" s="90" t="str">
        <f>IF(AND($J176=$P$7,$B176&lt;'1121'!$N$9),"x","")</f>
        <v/>
      </c>
      <c r="R176" s="90" t="str">
        <f>IF(AND($K176=$P$7,$B176&lt;'1121'!$N$9),"x","")</f>
        <v/>
      </c>
      <c r="S176" s="90" t="str">
        <f>IF(AND($B176&gt;='1331'!$I$9,$B176&lt;='1331'!$J$9,OR($J176=$S$7,$K176=$S$7)),"x","")</f>
        <v/>
      </c>
      <c r="T176" s="90" t="str">
        <f>IF(AND($J176=$S$7,$B176&lt;'1331'!$I$9),"x","")</f>
        <v/>
      </c>
      <c r="U176" s="90" t="str">
        <f>IF(AND($K176=$S$7,$B176&lt;'1331'!$I$9),"x","")</f>
        <v/>
      </c>
      <c r="V176" s="90" t="str">
        <f>IF(AND('3411-CT'!$E$9=TH!H176,OR(TH!J176=TH!$V$7,K176=TH!$V$7)),"x","")</f>
        <v/>
      </c>
      <c r="W176" s="90" t="str">
        <f>IF(OR(TH!J176=TH!$W$7,K176=TH!$W$7),"x","")</f>
        <v/>
      </c>
      <c r="X176" s="90" t="str">
        <f t="shared" si="7"/>
        <v>4</v>
      </c>
    </row>
    <row r="177" spans="1:24" ht="15.75" customHeight="1">
      <c r="A177" s="158" t="str">
        <f>IF(B177&lt;&gt;"",IF(AND(B177&gt;=_TM1,B177&lt;=_TM2,OR(TH!J177="1111",TH!K177="1111")),TH!D177,""),"")</f>
        <v/>
      </c>
      <c r="B177" s="63">
        <f t="shared" si="6"/>
        <v>10</v>
      </c>
      <c r="C177" s="64">
        <v>41942</v>
      </c>
      <c r="D177" s="64" t="s">
        <v>8</v>
      </c>
      <c r="E177" s="64">
        <v>41942</v>
      </c>
      <c r="F177" s="67" t="s">
        <v>341</v>
      </c>
      <c r="G177" s="439"/>
      <c r="H177" s="79" t="s">
        <v>79</v>
      </c>
      <c r="I177" s="65">
        <v>30800005</v>
      </c>
      <c r="J177" s="66" t="s">
        <v>9</v>
      </c>
      <c r="K177" s="66" t="s">
        <v>34</v>
      </c>
      <c r="L177" s="90" t="str">
        <f>IF(AND('331-CT'!$E$7=TH!H177,OR(J177="331",K177="331")),"x","")</f>
        <v>x</v>
      </c>
      <c r="M177" s="90" t="str">
        <f>IF(AND($B177&gt;='1111'!$N$10,$B177&lt;='1111'!$O$10,OR($J177=$M$7,$K177=$M$7)),"x","")</f>
        <v/>
      </c>
      <c r="N177" s="90" t="str">
        <f>IF(AND($J177=$M$7,$B177&lt;'1111'!$N$10),"x","")</f>
        <v/>
      </c>
      <c r="O177" s="90" t="str">
        <f>IF(AND($K177=$M$7,$B177&lt;'1111'!$N$10),"x","")</f>
        <v/>
      </c>
      <c r="P177" s="90" t="str">
        <f>IF(AND($B177&gt;='1121'!$N$9,$B177&lt;='1121'!$O$9,OR($J177=$P$7,$K177=$P$7)),"x","")</f>
        <v>x</v>
      </c>
      <c r="Q177" s="90" t="str">
        <f>IF(AND($J177=$P$7,$B177&lt;'1121'!$N$9),"x","")</f>
        <v/>
      </c>
      <c r="R177" s="90" t="str">
        <f>IF(AND($K177=$P$7,$B177&lt;'1121'!$N$9),"x","")</f>
        <v/>
      </c>
      <c r="S177" s="90" t="str">
        <f>IF(AND($B177&gt;='1331'!$I$9,$B177&lt;='1331'!$J$9,OR($J177=$S$7,$K177=$S$7)),"x","")</f>
        <v/>
      </c>
      <c r="T177" s="90" t="str">
        <f>IF(AND($J177=$S$7,$B177&lt;'1331'!$I$9),"x","")</f>
        <v/>
      </c>
      <c r="U177" s="90" t="str">
        <f>IF(AND($K177=$S$7,$B177&lt;'1331'!$I$9),"x","")</f>
        <v/>
      </c>
      <c r="V177" s="90" t="str">
        <f>IF(AND('3411-CT'!$E$9=TH!H177,OR(TH!J177=TH!$V$7,K177=TH!$V$7)),"x","")</f>
        <v/>
      </c>
      <c r="W177" s="90" t="str">
        <f>IF(OR(TH!J177=TH!$W$7,K177=TH!$W$7),"x","")</f>
        <v/>
      </c>
      <c r="X177" s="90" t="str">
        <f t="shared" si="7"/>
        <v>4</v>
      </c>
    </row>
    <row r="178" spans="1:24" ht="15.75" customHeight="1">
      <c r="A178" s="158" t="str">
        <f>IF(B178&lt;&gt;"",IF(AND(B178&gt;=_TM1,B178&lt;=_TM2,OR(TH!J178="1111",TH!K178="1111")),TH!D178,""),"")</f>
        <v/>
      </c>
      <c r="B178" s="63">
        <f t="shared" si="6"/>
        <v>10</v>
      </c>
      <c r="C178" s="64">
        <v>41942</v>
      </c>
      <c r="D178" s="64" t="s">
        <v>8</v>
      </c>
      <c r="E178" s="64">
        <v>41942</v>
      </c>
      <c r="F178" s="67" t="s">
        <v>21</v>
      </c>
      <c r="G178" s="439"/>
      <c r="H178" s="80"/>
      <c r="I178" s="65">
        <v>25000</v>
      </c>
      <c r="J178" s="66" t="s">
        <v>140</v>
      </c>
      <c r="K178" s="66" t="s">
        <v>34</v>
      </c>
      <c r="L178" s="90" t="str">
        <f>IF(AND('331-CT'!$E$7=TH!H178,OR(J178="331",K178="331")),"x","")</f>
        <v/>
      </c>
      <c r="M178" s="90" t="str">
        <f>IF(AND($B178&gt;='1111'!$N$10,$B178&lt;='1111'!$O$10,OR($J178=$M$7,$K178=$M$7)),"x","")</f>
        <v/>
      </c>
      <c r="N178" s="90" t="str">
        <f>IF(AND($J178=$M$7,$B178&lt;'1111'!$N$10),"x","")</f>
        <v/>
      </c>
      <c r="O178" s="90" t="str">
        <f>IF(AND($K178=$M$7,$B178&lt;'1111'!$N$10),"x","")</f>
        <v/>
      </c>
      <c r="P178" s="90" t="str">
        <f>IF(AND($B178&gt;='1121'!$N$9,$B178&lt;='1121'!$O$9,OR($J178=$P$7,$K178=$P$7)),"x","")</f>
        <v>x</v>
      </c>
      <c r="Q178" s="90" t="str">
        <f>IF(AND($J178=$P$7,$B178&lt;'1121'!$N$9),"x","")</f>
        <v/>
      </c>
      <c r="R178" s="90" t="str">
        <f>IF(AND($K178=$P$7,$B178&lt;'1121'!$N$9),"x","")</f>
        <v/>
      </c>
      <c r="S178" s="90" t="str">
        <f>IF(AND($B178&gt;='1331'!$I$9,$B178&lt;='1331'!$J$9,OR($J178=$S$7,$K178=$S$7)),"x","")</f>
        <v/>
      </c>
      <c r="T178" s="90" t="str">
        <f>IF(AND($J178=$S$7,$B178&lt;'1331'!$I$9),"x","")</f>
        <v/>
      </c>
      <c r="U178" s="90" t="str">
        <f>IF(AND($K178=$S$7,$B178&lt;'1331'!$I$9),"x","")</f>
        <v/>
      </c>
      <c r="V178" s="90" t="str">
        <f>IF(AND('3411-CT'!$E$9=TH!H178,OR(TH!J178=TH!$V$7,K178=TH!$V$7)),"x","")</f>
        <v/>
      </c>
      <c r="W178" s="90" t="str">
        <f>IF(OR(TH!J178=TH!$W$7,K178=TH!$W$7),"x","")</f>
        <v/>
      </c>
      <c r="X178" s="90" t="str">
        <f t="shared" si="7"/>
        <v>4</v>
      </c>
    </row>
    <row r="179" spans="1:24" ht="15.75" customHeight="1">
      <c r="A179" s="158" t="str">
        <f>IF(B179&lt;&gt;"",IF(AND(B179&gt;=_TM1,B179&lt;=_TM2,OR(TH!J179="1111",TH!K179="1111")),TH!D179,""),"")</f>
        <v/>
      </c>
      <c r="B179" s="63">
        <f t="shared" si="6"/>
        <v>10</v>
      </c>
      <c r="C179" s="64">
        <v>41942</v>
      </c>
      <c r="D179" s="64" t="s">
        <v>8</v>
      </c>
      <c r="E179" s="64">
        <v>41942</v>
      </c>
      <c r="F179" s="67" t="s">
        <v>22</v>
      </c>
      <c r="G179" s="439"/>
      <c r="H179" s="79"/>
      <c r="I179" s="65">
        <v>2500</v>
      </c>
      <c r="J179" s="66" t="s">
        <v>10</v>
      </c>
      <c r="K179" s="66" t="s">
        <v>34</v>
      </c>
      <c r="L179" s="90" t="str">
        <f>IF(AND('331-CT'!$E$7=TH!H179,OR(J179="331",K179="331")),"x","")</f>
        <v/>
      </c>
      <c r="M179" s="90" t="str">
        <f>IF(AND($B179&gt;='1111'!$N$10,$B179&lt;='1111'!$O$10,OR($J179=$M$7,$K179=$M$7)),"x","")</f>
        <v/>
      </c>
      <c r="N179" s="90" t="str">
        <f>IF(AND($J179=$M$7,$B179&lt;'1111'!$N$10),"x","")</f>
        <v/>
      </c>
      <c r="O179" s="90" t="str">
        <f>IF(AND($K179=$M$7,$B179&lt;'1111'!$N$10),"x","")</f>
        <v/>
      </c>
      <c r="P179" s="90" t="str">
        <f>IF(AND($B179&gt;='1121'!$N$9,$B179&lt;='1121'!$O$9,OR($J179=$P$7,$K179=$P$7)),"x","")</f>
        <v>x</v>
      </c>
      <c r="Q179" s="90" t="str">
        <f>IF(AND($J179=$P$7,$B179&lt;'1121'!$N$9),"x","")</f>
        <v/>
      </c>
      <c r="R179" s="90" t="str">
        <f>IF(AND($K179=$P$7,$B179&lt;'1121'!$N$9),"x","")</f>
        <v/>
      </c>
      <c r="S179" s="90" t="str">
        <f>IF(AND($B179&gt;='1331'!$I$9,$B179&lt;='1331'!$J$9,OR($J179=$S$7,$K179=$S$7)),"x","")</f>
        <v/>
      </c>
      <c r="T179" s="90" t="str">
        <f>IF(AND($J179=$S$7,$B179&lt;'1331'!$I$9),"x","")</f>
        <v/>
      </c>
      <c r="U179" s="90" t="str">
        <f>IF(AND($K179=$S$7,$B179&lt;'1331'!$I$9),"x","")</f>
        <v/>
      </c>
      <c r="V179" s="90" t="str">
        <f>IF(AND('3411-CT'!$E$9=TH!H179,OR(TH!J179=TH!$V$7,K179=TH!$V$7)),"x","")</f>
        <v/>
      </c>
      <c r="W179" s="90" t="str">
        <f>IF(OR(TH!J179=TH!$W$7,K179=TH!$W$7),"x","")</f>
        <v/>
      </c>
      <c r="X179" s="90" t="str">
        <f t="shared" si="7"/>
        <v>4</v>
      </c>
    </row>
    <row r="180" spans="1:24" ht="15.75" customHeight="1">
      <c r="A180" s="158" t="str">
        <f>IF(B180&lt;&gt;"",IF(AND(B180&gt;=_TM1,B180&lt;=_TM2,OR(TH!J180="1111",TH!K180="1111")),TH!D180,""),"")</f>
        <v/>
      </c>
      <c r="B180" s="63">
        <f t="shared" si="6"/>
        <v>10</v>
      </c>
      <c r="C180" s="64">
        <v>41942</v>
      </c>
      <c r="D180" s="64" t="s">
        <v>8</v>
      </c>
      <c r="E180" s="64">
        <v>41942</v>
      </c>
      <c r="F180" s="67" t="s">
        <v>312</v>
      </c>
      <c r="G180" s="439"/>
      <c r="H180" s="79" t="s">
        <v>59</v>
      </c>
      <c r="I180" s="65">
        <v>49000000</v>
      </c>
      <c r="J180" s="66" t="s">
        <v>9</v>
      </c>
      <c r="K180" s="66" t="s">
        <v>34</v>
      </c>
      <c r="L180" s="90" t="str">
        <f>IF(AND('331-CT'!$E$7=TH!H180,OR(J180="331",K180="331")),"x","")</f>
        <v/>
      </c>
      <c r="M180" s="90" t="str">
        <f>IF(AND($B180&gt;='1111'!$N$10,$B180&lt;='1111'!$O$10,OR($J180=$M$7,$K180=$M$7)),"x","")</f>
        <v/>
      </c>
      <c r="N180" s="90" t="str">
        <f>IF(AND($J180=$M$7,$B180&lt;'1111'!$N$10),"x","")</f>
        <v/>
      </c>
      <c r="O180" s="90" t="str">
        <f>IF(AND($K180=$M$7,$B180&lt;'1111'!$N$10),"x","")</f>
        <v/>
      </c>
      <c r="P180" s="90" t="str">
        <f>IF(AND($B180&gt;='1121'!$N$9,$B180&lt;='1121'!$O$9,OR($J180=$P$7,$K180=$P$7)),"x","")</f>
        <v>x</v>
      </c>
      <c r="Q180" s="90" t="str">
        <f>IF(AND($J180=$P$7,$B180&lt;'1121'!$N$9),"x","")</f>
        <v/>
      </c>
      <c r="R180" s="90" t="str">
        <f>IF(AND($K180=$P$7,$B180&lt;'1121'!$N$9),"x","")</f>
        <v/>
      </c>
      <c r="S180" s="90" t="str">
        <f>IF(AND($B180&gt;='1331'!$I$9,$B180&lt;='1331'!$J$9,OR($J180=$S$7,$K180=$S$7)),"x","")</f>
        <v/>
      </c>
      <c r="T180" s="90" t="str">
        <f>IF(AND($J180=$S$7,$B180&lt;'1331'!$I$9),"x","")</f>
        <v/>
      </c>
      <c r="U180" s="90" t="str">
        <f>IF(AND($K180=$S$7,$B180&lt;'1331'!$I$9),"x","")</f>
        <v/>
      </c>
      <c r="V180" s="90" t="str">
        <f>IF(AND('3411-CT'!$E$9=TH!H180,OR(TH!J180=TH!$V$7,K180=TH!$V$7)),"x","")</f>
        <v/>
      </c>
      <c r="W180" s="90" t="str">
        <f>IF(OR(TH!J180=TH!$W$7,K180=TH!$W$7),"x","")</f>
        <v/>
      </c>
      <c r="X180" s="90" t="str">
        <f t="shared" si="7"/>
        <v>4</v>
      </c>
    </row>
    <row r="181" spans="1:24" ht="15.75" customHeight="1">
      <c r="A181" s="158" t="str">
        <f>IF(B181&lt;&gt;"",IF(AND(B181&gt;=_TM1,B181&lt;=_TM2,OR(TH!J181="1111",TH!K181="1111")),TH!D181,""),"")</f>
        <v/>
      </c>
      <c r="B181" s="63">
        <f t="shared" si="6"/>
        <v>10</v>
      </c>
      <c r="C181" s="64">
        <v>41942</v>
      </c>
      <c r="D181" s="64" t="s">
        <v>8</v>
      </c>
      <c r="E181" s="64">
        <v>41942</v>
      </c>
      <c r="F181" s="67" t="s">
        <v>21</v>
      </c>
      <c r="G181" s="439"/>
      <c r="H181" s="7"/>
      <c r="I181" s="65">
        <v>25000</v>
      </c>
      <c r="J181" s="66" t="s">
        <v>140</v>
      </c>
      <c r="K181" s="66" t="s">
        <v>34</v>
      </c>
      <c r="L181" s="90" t="str">
        <f>IF(AND('331-CT'!$E$7=TH!H181,OR(J181="331",K181="331")),"x","")</f>
        <v/>
      </c>
      <c r="M181" s="90" t="str">
        <f>IF(AND($B181&gt;='1111'!$N$10,$B181&lt;='1111'!$O$10,OR($J181=$M$7,$K181=$M$7)),"x","")</f>
        <v/>
      </c>
      <c r="N181" s="90" t="str">
        <f>IF(AND($J181=$M$7,$B181&lt;'1111'!$N$10),"x","")</f>
        <v/>
      </c>
      <c r="O181" s="90" t="str">
        <f>IF(AND($K181=$M$7,$B181&lt;'1111'!$N$10),"x","")</f>
        <v/>
      </c>
      <c r="P181" s="90" t="str">
        <f>IF(AND($B181&gt;='1121'!$N$9,$B181&lt;='1121'!$O$9,OR($J181=$P$7,$K181=$P$7)),"x","")</f>
        <v>x</v>
      </c>
      <c r="Q181" s="90" t="str">
        <f>IF(AND($J181=$P$7,$B181&lt;'1121'!$N$9),"x","")</f>
        <v/>
      </c>
      <c r="R181" s="90" t="str">
        <f>IF(AND($K181=$P$7,$B181&lt;'1121'!$N$9),"x","")</f>
        <v/>
      </c>
      <c r="S181" s="90" t="str">
        <f>IF(AND($B181&gt;='1331'!$I$9,$B181&lt;='1331'!$J$9,OR($J181=$S$7,$K181=$S$7)),"x","")</f>
        <v/>
      </c>
      <c r="T181" s="90" t="str">
        <f>IF(AND($J181=$S$7,$B181&lt;'1331'!$I$9),"x","")</f>
        <v/>
      </c>
      <c r="U181" s="90" t="str">
        <f>IF(AND($K181=$S$7,$B181&lt;'1331'!$I$9),"x","")</f>
        <v/>
      </c>
      <c r="V181" s="90" t="str">
        <f>IF(AND('3411-CT'!$E$9=TH!H181,OR(TH!J181=TH!$V$7,K181=TH!$V$7)),"x","")</f>
        <v/>
      </c>
      <c r="W181" s="90" t="str">
        <f>IF(OR(TH!J181=TH!$W$7,K181=TH!$W$7),"x","")</f>
        <v/>
      </c>
      <c r="X181" s="90" t="str">
        <f t="shared" si="7"/>
        <v>4</v>
      </c>
    </row>
    <row r="182" spans="1:24" ht="15.75" customHeight="1">
      <c r="A182" s="158" t="str">
        <f>IF(B182&lt;&gt;"",IF(AND(B182&gt;=_TM1,B182&lt;=_TM2,OR(TH!J182="1111",TH!K182="1111")),TH!D182,""),"")</f>
        <v/>
      </c>
      <c r="B182" s="63">
        <f t="shared" si="6"/>
        <v>10</v>
      </c>
      <c r="C182" s="64">
        <v>41942</v>
      </c>
      <c r="D182" s="64" t="s">
        <v>8</v>
      </c>
      <c r="E182" s="64">
        <v>41942</v>
      </c>
      <c r="F182" s="67" t="s">
        <v>22</v>
      </c>
      <c r="G182" s="439"/>
      <c r="H182" s="79"/>
      <c r="I182" s="65">
        <v>2500</v>
      </c>
      <c r="J182" s="66" t="s">
        <v>10</v>
      </c>
      <c r="K182" s="66" t="s">
        <v>34</v>
      </c>
      <c r="L182" s="90" t="str">
        <f>IF(AND('331-CT'!$E$7=TH!H182,OR(J182="331",K182="331")),"x","")</f>
        <v/>
      </c>
      <c r="M182" s="90" t="str">
        <f>IF(AND($B182&gt;='1111'!$N$10,$B182&lt;='1111'!$O$10,OR($J182=$M$7,$K182=$M$7)),"x","")</f>
        <v/>
      </c>
      <c r="N182" s="90" t="str">
        <f>IF(AND($J182=$M$7,$B182&lt;'1111'!$N$10),"x","")</f>
        <v/>
      </c>
      <c r="O182" s="90" t="str">
        <f>IF(AND($K182=$M$7,$B182&lt;'1111'!$N$10),"x","")</f>
        <v/>
      </c>
      <c r="P182" s="90" t="str">
        <f>IF(AND($B182&gt;='1121'!$N$9,$B182&lt;='1121'!$O$9,OR($J182=$P$7,$K182=$P$7)),"x","")</f>
        <v>x</v>
      </c>
      <c r="Q182" s="90" t="str">
        <f>IF(AND($J182=$P$7,$B182&lt;'1121'!$N$9),"x","")</f>
        <v/>
      </c>
      <c r="R182" s="90" t="str">
        <f>IF(AND($K182=$P$7,$B182&lt;'1121'!$N$9),"x","")</f>
        <v/>
      </c>
      <c r="S182" s="90" t="str">
        <f>IF(AND($B182&gt;='1331'!$I$9,$B182&lt;='1331'!$J$9,OR($J182=$S$7,$K182=$S$7)),"x","")</f>
        <v/>
      </c>
      <c r="T182" s="90" t="str">
        <f>IF(AND($J182=$S$7,$B182&lt;'1331'!$I$9),"x","")</f>
        <v/>
      </c>
      <c r="U182" s="90" t="str">
        <f>IF(AND($K182=$S$7,$B182&lt;'1331'!$I$9),"x","")</f>
        <v/>
      </c>
      <c r="V182" s="90" t="str">
        <f>IF(AND('3411-CT'!$E$9=TH!H182,OR(TH!J182=TH!$V$7,K182=TH!$V$7)),"x","")</f>
        <v/>
      </c>
      <c r="W182" s="90" t="str">
        <f>IF(OR(TH!J182=TH!$W$7,K182=TH!$W$7),"x","")</f>
        <v/>
      </c>
      <c r="X182" s="90" t="str">
        <f t="shared" si="7"/>
        <v>4</v>
      </c>
    </row>
    <row r="183" spans="1:24" ht="15.75" customHeight="1">
      <c r="A183" s="158" t="str">
        <f>IF(B183&lt;&gt;"",IF(AND(B183&gt;=_TM1,B183&lt;=_TM2,OR(TH!J183="1111",TH!K183="1111")),TH!D183,""),"")</f>
        <v/>
      </c>
      <c r="B183" s="63">
        <f t="shared" si="6"/>
        <v>10</v>
      </c>
      <c r="C183" s="64">
        <v>41942</v>
      </c>
      <c r="D183" s="64" t="s">
        <v>8</v>
      </c>
      <c r="E183" s="64">
        <v>41942</v>
      </c>
      <c r="F183" s="67" t="s">
        <v>75</v>
      </c>
      <c r="G183" s="439"/>
      <c r="H183" s="80" t="s">
        <v>74</v>
      </c>
      <c r="I183" s="65">
        <v>500000000</v>
      </c>
      <c r="J183" s="66" t="s">
        <v>9</v>
      </c>
      <c r="K183" s="66" t="s">
        <v>34</v>
      </c>
      <c r="L183" s="90" t="str">
        <f>IF(AND('331-CT'!$E$7=TH!H183,OR(J183="331",K183="331")),"x","")</f>
        <v/>
      </c>
      <c r="M183" s="90" t="str">
        <f>IF(AND($B183&gt;='1111'!$N$10,$B183&lt;='1111'!$O$10,OR($J183=$M$7,$K183=$M$7)),"x","")</f>
        <v/>
      </c>
      <c r="N183" s="90" t="str">
        <f>IF(AND($J183=$M$7,$B183&lt;'1111'!$N$10),"x","")</f>
        <v/>
      </c>
      <c r="O183" s="90" t="str">
        <f>IF(AND($K183=$M$7,$B183&lt;'1111'!$N$10),"x","")</f>
        <v/>
      </c>
      <c r="P183" s="90" t="str">
        <f>IF(AND($B183&gt;='1121'!$N$9,$B183&lt;='1121'!$O$9,OR($J183=$P$7,$K183=$P$7)),"x","")</f>
        <v>x</v>
      </c>
      <c r="Q183" s="90" t="str">
        <f>IF(AND($J183=$P$7,$B183&lt;'1121'!$N$9),"x","")</f>
        <v/>
      </c>
      <c r="R183" s="90" t="str">
        <f>IF(AND($K183=$P$7,$B183&lt;'1121'!$N$9),"x","")</f>
        <v/>
      </c>
      <c r="S183" s="90" t="str">
        <f>IF(AND($B183&gt;='1331'!$I$9,$B183&lt;='1331'!$J$9,OR($J183=$S$7,$K183=$S$7)),"x","")</f>
        <v/>
      </c>
      <c r="T183" s="90" t="str">
        <f>IF(AND($J183=$S$7,$B183&lt;'1331'!$I$9),"x","")</f>
        <v/>
      </c>
      <c r="U183" s="90" t="str">
        <f>IF(AND($K183=$S$7,$B183&lt;'1331'!$I$9),"x","")</f>
        <v/>
      </c>
      <c r="V183" s="90" t="str">
        <f>IF(AND('3411-CT'!$E$9=TH!H183,OR(TH!J183=TH!$V$7,K183=TH!$V$7)),"x","")</f>
        <v/>
      </c>
      <c r="W183" s="90" t="str">
        <f>IF(OR(TH!J183=TH!$W$7,K183=TH!$W$7),"x","")</f>
        <v/>
      </c>
      <c r="X183" s="90" t="str">
        <f t="shared" si="7"/>
        <v>4</v>
      </c>
    </row>
    <row r="184" spans="1:24" ht="15.75" customHeight="1">
      <c r="A184" s="158" t="str">
        <f>IF(B184&lt;&gt;"",IF(AND(B184&gt;=_TM1,B184&lt;=_TM2,OR(TH!J184="1111",TH!K184="1111")),TH!D184,""),"")</f>
        <v/>
      </c>
      <c r="B184" s="63">
        <f t="shared" si="6"/>
        <v>10</v>
      </c>
      <c r="C184" s="64">
        <v>41942</v>
      </c>
      <c r="D184" s="64" t="s">
        <v>8</v>
      </c>
      <c r="E184" s="64">
        <v>41942</v>
      </c>
      <c r="F184" s="67" t="s">
        <v>21</v>
      </c>
      <c r="G184" s="439"/>
      <c r="H184" s="79"/>
      <c r="I184" s="65">
        <v>150000</v>
      </c>
      <c r="J184" s="66" t="s">
        <v>140</v>
      </c>
      <c r="K184" s="66" t="s">
        <v>34</v>
      </c>
      <c r="L184" s="90" t="str">
        <f>IF(AND('331-CT'!$E$7=TH!H184,OR(J184="331",K184="331")),"x","")</f>
        <v/>
      </c>
      <c r="M184" s="90" t="str">
        <f>IF(AND($B184&gt;='1111'!$N$10,$B184&lt;='1111'!$O$10,OR($J184=$M$7,$K184=$M$7)),"x","")</f>
        <v/>
      </c>
      <c r="N184" s="90" t="str">
        <f>IF(AND($J184=$M$7,$B184&lt;'1111'!$N$10),"x","")</f>
        <v/>
      </c>
      <c r="O184" s="90" t="str">
        <f>IF(AND($K184=$M$7,$B184&lt;'1111'!$N$10),"x","")</f>
        <v/>
      </c>
      <c r="P184" s="90" t="str">
        <f>IF(AND($B184&gt;='1121'!$N$9,$B184&lt;='1121'!$O$9,OR($J184=$P$7,$K184=$P$7)),"x","")</f>
        <v>x</v>
      </c>
      <c r="Q184" s="90" t="str">
        <f>IF(AND($J184=$P$7,$B184&lt;'1121'!$N$9),"x","")</f>
        <v/>
      </c>
      <c r="R184" s="90" t="str">
        <f>IF(AND($K184=$P$7,$B184&lt;'1121'!$N$9),"x","")</f>
        <v/>
      </c>
      <c r="S184" s="90" t="str">
        <f>IF(AND($B184&gt;='1331'!$I$9,$B184&lt;='1331'!$J$9,OR($J184=$S$7,$K184=$S$7)),"x","")</f>
        <v/>
      </c>
      <c r="T184" s="90" t="str">
        <f>IF(AND($J184=$S$7,$B184&lt;'1331'!$I$9),"x","")</f>
        <v/>
      </c>
      <c r="U184" s="90" t="str">
        <f>IF(AND($K184=$S$7,$B184&lt;'1331'!$I$9),"x","")</f>
        <v/>
      </c>
      <c r="V184" s="90" t="str">
        <f>IF(AND('3411-CT'!$E$9=TH!H184,OR(TH!J184=TH!$V$7,K184=TH!$V$7)),"x","")</f>
        <v/>
      </c>
      <c r="W184" s="90" t="str">
        <f>IF(OR(TH!J184=TH!$W$7,K184=TH!$W$7),"x","")</f>
        <v/>
      </c>
      <c r="X184" s="90" t="str">
        <f t="shared" si="7"/>
        <v>4</v>
      </c>
    </row>
    <row r="185" spans="1:24" ht="15.75" customHeight="1">
      <c r="A185" s="158" t="str">
        <f>IF(B185&lt;&gt;"",IF(AND(B185&gt;=_TM1,B185&lt;=_TM2,OR(TH!J185="1111",TH!K185="1111")),TH!D185,""),"")</f>
        <v/>
      </c>
      <c r="B185" s="63">
        <f t="shared" si="6"/>
        <v>10</v>
      </c>
      <c r="C185" s="64">
        <v>41942</v>
      </c>
      <c r="D185" s="64" t="s">
        <v>8</v>
      </c>
      <c r="E185" s="64">
        <v>41942</v>
      </c>
      <c r="F185" s="67" t="s">
        <v>22</v>
      </c>
      <c r="G185" s="439"/>
      <c r="H185" s="79"/>
      <c r="I185" s="65">
        <v>15000</v>
      </c>
      <c r="J185" s="66" t="s">
        <v>10</v>
      </c>
      <c r="K185" s="66" t="s">
        <v>34</v>
      </c>
      <c r="L185" s="90" t="str">
        <f>IF(AND('331-CT'!$E$7=TH!H185,OR(J185="331",K185="331")),"x","")</f>
        <v/>
      </c>
      <c r="M185" s="90" t="str">
        <f>IF(AND($B185&gt;='1111'!$N$10,$B185&lt;='1111'!$O$10,OR($J185=$M$7,$K185=$M$7)),"x","")</f>
        <v/>
      </c>
      <c r="N185" s="90" t="str">
        <f>IF(AND($J185=$M$7,$B185&lt;'1111'!$N$10),"x","")</f>
        <v/>
      </c>
      <c r="O185" s="90" t="str">
        <f>IF(AND($K185=$M$7,$B185&lt;'1111'!$N$10),"x","")</f>
        <v/>
      </c>
      <c r="P185" s="90" t="str">
        <f>IF(AND($B185&gt;='1121'!$N$9,$B185&lt;='1121'!$O$9,OR($J185=$P$7,$K185=$P$7)),"x","")</f>
        <v>x</v>
      </c>
      <c r="Q185" s="90" t="str">
        <f>IF(AND($J185=$P$7,$B185&lt;'1121'!$N$9),"x","")</f>
        <v/>
      </c>
      <c r="R185" s="90" t="str">
        <f>IF(AND($K185=$P$7,$B185&lt;'1121'!$N$9),"x","")</f>
        <v/>
      </c>
      <c r="S185" s="90" t="str">
        <f>IF(AND($B185&gt;='1331'!$I$9,$B185&lt;='1331'!$J$9,OR($J185=$S$7,$K185=$S$7)),"x","")</f>
        <v/>
      </c>
      <c r="T185" s="90" t="str">
        <f>IF(AND($J185=$S$7,$B185&lt;'1331'!$I$9),"x","")</f>
        <v/>
      </c>
      <c r="U185" s="90" t="str">
        <f>IF(AND($K185=$S$7,$B185&lt;'1331'!$I$9),"x","")</f>
        <v/>
      </c>
      <c r="V185" s="90" t="str">
        <f>IF(AND('3411-CT'!$E$9=TH!H185,OR(TH!J185=TH!$V$7,K185=TH!$V$7)),"x","")</f>
        <v/>
      </c>
      <c r="W185" s="90" t="str">
        <f>IF(OR(TH!J185=TH!$W$7,K185=TH!$W$7),"x","")</f>
        <v/>
      </c>
      <c r="X185" s="90" t="str">
        <f t="shared" si="7"/>
        <v>4</v>
      </c>
    </row>
    <row r="186" spans="1:24" ht="15.75" customHeight="1">
      <c r="A186" s="158" t="str">
        <f>IF(B186&lt;&gt;"",IF(AND(B186&gt;=_TM1,B186&lt;=_TM2,OR(TH!J186="1111",TH!K186="1111")),TH!D186,""),"")</f>
        <v/>
      </c>
      <c r="B186" s="63">
        <f t="shared" si="6"/>
        <v>10</v>
      </c>
      <c r="C186" s="64">
        <v>41943</v>
      </c>
      <c r="D186" s="64" t="s">
        <v>49</v>
      </c>
      <c r="E186" s="64">
        <v>41943</v>
      </c>
      <c r="F186" s="67" t="s">
        <v>342</v>
      </c>
      <c r="G186" s="439" t="s">
        <v>343</v>
      </c>
      <c r="H186" s="81" t="s">
        <v>77</v>
      </c>
      <c r="I186" s="65">
        <v>14842908</v>
      </c>
      <c r="J186" s="66" t="s">
        <v>214</v>
      </c>
      <c r="K186" s="66" t="s">
        <v>9</v>
      </c>
      <c r="L186" s="90" t="str">
        <f>IF(AND('331-CT'!$E$7=TH!H186,OR(J186="331",K186="331")),"x","")</f>
        <v/>
      </c>
      <c r="M186" s="90" t="str">
        <f>IF(AND($B186&gt;='1111'!$N$10,$B186&lt;='1111'!$O$10,OR($J186=$M$7,$K186=$M$7)),"x","")</f>
        <v/>
      </c>
      <c r="N186" s="90" t="str">
        <f>IF(AND($J186=$M$7,$B186&lt;'1111'!$N$10),"x","")</f>
        <v/>
      </c>
      <c r="O186" s="90" t="str">
        <f>IF(AND($K186=$M$7,$B186&lt;'1111'!$N$10),"x","")</f>
        <v/>
      </c>
      <c r="P186" s="90" t="str">
        <f>IF(AND($B186&gt;='1121'!$N$9,$B186&lt;='1121'!$O$9,OR($J186=$P$7,$K186=$P$7)),"x","")</f>
        <v/>
      </c>
      <c r="Q186" s="90" t="str">
        <f>IF(AND($J186=$P$7,$B186&lt;'1121'!$N$9),"x","")</f>
        <v/>
      </c>
      <c r="R186" s="90" t="str">
        <f>IF(AND($K186=$P$7,$B186&lt;'1121'!$N$9),"x","")</f>
        <v/>
      </c>
      <c r="S186" s="90" t="str">
        <f>IF(AND($B186&gt;='1331'!$I$9,$B186&lt;='1331'!$J$9,OR($J186=$S$7,$K186=$S$7)),"x","")</f>
        <v/>
      </c>
      <c r="T186" s="90" t="str">
        <f>IF(AND($J186=$S$7,$B186&lt;'1331'!$I$9),"x","")</f>
        <v/>
      </c>
      <c r="U186" s="90" t="str">
        <f>IF(AND($K186=$S$7,$B186&lt;'1331'!$I$9),"x","")</f>
        <v/>
      </c>
      <c r="V186" s="90" t="str">
        <f>IF(AND('3411-CT'!$E$9=TH!H186,OR(TH!J186=TH!$V$7,K186=TH!$V$7)),"x","")</f>
        <v/>
      </c>
      <c r="W186" s="90" t="str">
        <f>IF(OR(TH!J186=TH!$W$7,K186=TH!$W$7),"x","")</f>
        <v/>
      </c>
      <c r="X186" s="90" t="str">
        <f t="shared" si="7"/>
        <v>4</v>
      </c>
    </row>
    <row r="187" spans="1:24" ht="15.75" customHeight="1">
      <c r="A187" s="158" t="str">
        <f>IF(B187&lt;&gt;"",IF(AND(B187&gt;=_TM1,B187&lt;=_TM2,OR(TH!J187="1111",TH!K187="1111")),TH!D187,""),"")</f>
        <v/>
      </c>
      <c r="B187" s="63">
        <f t="shared" si="6"/>
        <v>10</v>
      </c>
      <c r="C187" s="64">
        <v>41943</v>
      </c>
      <c r="D187" s="64" t="s">
        <v>49</v>
      </c>
      <c r="E187" s="64">
        <v>41943</v>
      </c>
      <c r="F187" s="67" t="s">
        <v>344</v>
      </c>
      <c r="G187" s="439" t="s">
        <v>343</v>
      </c>
      <c r="H187" s="81" t="s">
        <v>77</v>
      </c>
      <c r="I187" s="65">
        <v>1484291</v>
      </c>
      <c r="J187" s="66" t="s">
        <v>10</v>
      </c>
      <c r="K187" s="66" t="s">
        <v>9</v>
      </c>
      <c r="L187" s="90" t="str">
        <f>IF(AND('331-CT'!$E$7=TH!H187,OR(J187="331",K187="331")),"x","")</f>
        <v/>
      </c>
      <c r="M187" s="90" t="str">
        <f>IF(AND($B187&gt;='1111'!$N$10,$B187&lt;='1111'!$O$10,OR($J187=$M$7,$K187=$M$7)),"x","")</f>
        <v/>
      </c>
      <c r="N187" s="90" t="str">
        <f>IF(AND($J187=$M$7,$B187&lt;'1111'!$N$10),"x","")</f>
        <v/>
      </c>
      <c r="O187" s="90" t="str">
        <f>IF(AND($K187=$M$7,$B187&lt;'1111'!$N$10),"x","")</f>
        <v/>
      </c>
      <c r="P187" s="90" t="str">
        <f>IF(AND($B187&gt;='1121'!$N$9,$B187&lt;='1121'!$O$9,OR($J187=$P$7,$K187=$P$7)),"x","")</f>
        <v/>
      </c>
      <c r="Q187" s="90" t="str">
        <f>IF(AND($J187=$P$7,$B187&lt;'1121'!$N$9),"x","")</f>
        <v/>
      </c>
      <c r="R187" s="90" t="str">
        <f>IF(AND($K187=$P$7,$B187&lt;'1121'!$N$9),"x","")</f>
        <v/>
      </c>
      <c r="S187" s="90" t="str">
        <f>IF(AND($B187&gt;='1331'!$I$9,$B187&lt;='1331'!$J$9,OR($J187=$S$7,$K187=$S$7)),"x","")</f>
        <v/>
      </c>
      <c r="T187" s="90" t="str">
        <f>IF(AND($J187=$S$7,$B187&lt;'1331'!$I$9),"x","")</f>
        <v/>
      </c>
      <c r="U187" s="90" t="str">
        <f>IF(AND($K187=$S$7,$B187&lt;'1331'!$I$9),"x","")</f>
        <v/>
      </c>
      <c r="V187" s="90" t="str">
        <f>IF(AND('3411-CT'!$E$9=TH!H187,OR(TH!J187=TH!$V$7,K187=TH!$V$7)),"x","")</f>
        <v/>
      </c>
      <c r="W187" s="90" t="str">
        <f>IF(OR(TH!J187=TH!$W$7,K187=TH!$W$7),"x","")</f>
        <v/>
      </c>
      <c r="X187" s="90" t="str">
        <f t="shared" si="7"/>
        <v>4</v>
      </c>
    </row>
    <row r="188" spans="1:24" ht="15.75" customHeight="1">
      <c r="A188" s="158" t="str">
        <f>IF(B188&lt;&gt;"",IF(AND(B188&gt;=_TM1,B188&lt;=_TM2,OR(TH!J188="1111",TH!K188="1111")),TH!D188,""),"")</f>
        <v>C02</v>
      </c>
      <c r="B188" s="63">
        <f t="shared" si="6"/>
        <v>11</v>
      </c>
      <c r="C188" s="64">
        <v>41949</v>
      </c>
      <c r="D188" s="64" t="s">
        <v>60</v>
      </c>
      <c r="E188" s="64">
        <v>41949</v>
      </c>
      <c r="F188" s="67" t="s">
        <v>345</v>
      </c>
      <c r="G188" s="439" t="s">
        <v>346</v>
      </c>
      <c r="H188" s="81" t="s">
        <v>347</v>
      </c>
      <c r="I188" s="65">
        <v>2160000</v>
      </c>
      <c r="J188" s="66" t="s">
        <v>140</v>
      </c>
      <c r="K188" s="66" t="s">
        <v>101</v>
      </c>
      <c r="L188" s="90" t="str">
        <f>IF(AND('331-CT'!$E$7=TH!H188,OR(J188="331",K188="331")),"x","")</f>
        <v/>
      </c>
      <c r="M188" s="90" t="str">
        <f>IF(AND($B188&gt;='1111'!$N$10,$B188&lt;='1111'!$O$10,OR($J188=$M$7,$K188=$M$7)),"x","")</f>
        <v/>
      </c>
      <c r="N188" s="90" t="str">
        <f>IF(AND($J188=$M$7,$B188&lt;'1111'!$N$10),"x","")</f>
        <v/>
      </c>
      <c r="O188" s="90" t="str">
        <f>IF(AND($K188=$M$7,$B188&lt;'1111'!$N$10),"x","")</f>
        <v/>
      </c>
      <c r="P188" s="90" t="str">
        <f>IF(AND($B188&gt;='1121'!$N$9,$B188&lt;='1121'!$O$9,OR($J188=$P$7,$K188=$P$7)),"x","")</f>
        <v/>
      </c>
      <c r="Q188" s="90" t="str">
        <f>IF(AND($J188=$P$7,$B188&lt;'1121'!$N$9),"x","")</f>
        <v/>
      </c>
      <c r="R188" s="90" t="str">
        <f>IF(AND($K188=$P$7,$B188&lt;'1121'!$N$9),"x","")</f>
        <v/>
      </c>
      <c r="S188" s="90" t="str">
        <f>IF(AND($B188&gt;='1331'!$I$9,$B188&lt;='1331'!$J$9,OR($J188=$S$7,$K188=$S$7)),"x","")</f>
        <v/>
      </c>
      <c r="T188" s="90" t="str">
        <f>IF(AND($J188=$S$7,$B188&lt;'1331'!$I$9),"x","")</f>
        <v/>
      </c>
      <c r="U188" s="90" t="str">
        <f>IF(AND($K188=$S$7,$B188&lt;'1331'!$I$9),"x","")</f>
        <v/>
      </c>
      <c r="V188" s="90" t="str">
        <f>IF(AND('3411-CT'!$E$9=TH!H188,OR(TH!J188=TH!$V$7,K188=TH!$V$7)),"x","")</f>
        <v/>
      </c>
      <c r="W188" s="90" t="str">
        <f>IF(OR(TH!J188=TH!$W$7,K188=TH!$W$7),"x","")</f>
        <v/>
      </c>
      <c r="X188" s="90" t="str">
        <f t="shared" si="7"/>
        <v>4</v>
      </c>
    </row>
    <row r="189" spans="1:24" ht="15.75" customHeight="1">
      <c r="A189" s="158" t="str">
        <f>IF(B189&lt;&gt;"",IF(AND(B189&gt;=_TM1,B189&lt;=_TM2,OR(TH!J189="1111",TH!K189="1111")),TH!D189,""),"")</f>
        <v>C02</v>
      </c>
      <c r="B189" s="63">
        <f t="shared" si="6"/>
        <v>11</v>
      </c>
      <c r="C189" s="64">
        <v>41949</v>
      </c>
      <c r="D189" s="64" t="s">
        <v>60</v>
      </c>
      <c r="E189" s="64">
        <v>41949</v>
      </c>
      <c r="F189" s="67" t="s">
        <v>348</v>
      </c>
      <c r="G189" s="439" t="s">
        <v>346</v>
      </c>
      <c r="H189" s="81" t="s">
        <v>347</v>
      </c>
      <c r="I189" s="65">
        <v>216000</v>
      </c>
      <c r="J189" s="66" t="s">
        <v>10</v>
      </c>
      <c r="K189" s="66" t="s">
        <v>101</v>
      </c>
      <c r="L189" s="90" t="str">
        <f>IF(AND('331-CT'!$E$7=TH!H189,OR(J189="331",K189="331")),"x","")</f>
        <v/>
      </c>
      <c r="M189" s="90" t="str">
        <f>IF(AND($B189&gt;='1111'!$N$10,$B189&lt;='1111'!$O$10,OR($J189=$M$7,$K189=$M$7)),"x","")</f>
        <v/>
      </c>
      <c r="N189" s="90" t="str">
        <f>IF(AND($J189=$M$7,$B189&lt;'1111'!$N$10),"x","")</f>
        <v/>
      </c>
      <c r="O189" s="90" t="str">
        <f>IF(AND($K189=$M$7,$B189&lt;'1111'!$N$10),"x","")</f>
        <v/>
      </c>
      <c r="P189" s="90" t="str">
        <f>IF(AND($B189&gt;='1121'!$N$9,$B189&lt;='1121'!$O$9,OR($J189=$P$7,$K189=$P$7)),"x","")</f>
        <v/>
      </c>
      <c r="Q189" s="90" t="str">
        <f>IF(AND($J189=$P$7,$B189&lt;'1121'!$N$9),"x","")</f>
        <v/>
      </c>
      <c r="R189" s="90" t="str">
        <f>IF(AND($K189=$P$7,$B189&lt;'1121'!$N$9),"x","")</f>
        <v/>
      </c>
      <c r="S189" s="90" t="str">
        <f>IF(AND($B189&gt;='1331'!$I$9,$B189&lt;='1331'!$J$9,OR($J189=$S$7,$K189=$S$7)),"x","")</f>
        <v/>
      </c>
      <c r="T189" s="90" t="str">
        <f>IF(AND($J189=$S$7,$B189&lt;'1331'!$I$9),"x","")</f>
        <v/>
      </c>
      <c r="U189" s="90" t="str">
        <f>IF(AND($K189=$S$7,$B189&lt;'1331'!$I$9),"x","")</f>
        <v/>
      </c>
      <c r="V189" s="90" t="str">
        <f>IF(AND('3411-CT'!$E$9=TH!H189,OR(TH!J189=TH!$V$7,K189=TH!$V$7)),"x","")</f>
        <v/>
      </c>
      <c r="W189" s="90" t="str">
        <f>IF(OR(TH!J189=TH!$W$7,K189=TH!$W$7),"x","")</f>
        <v/>
      </c>
      <c r="X189" s="90" t="str">
        <f t="shared" si="7"/>
        <v>4</v>
      </c>
    </row>
    <row r="190" spans="1:24" ht="15.75" customHeight="1">
      <c r="A190" s="158" t="str">
        <f>IF(B190&lt;&gt;"",IF(AND(B190&gt;=_TM1,B190&lt;=_TM2,OR(TH!J190="1111",TH!K190="1111")),TH!D190,""),"")</f>
        <v>C03</v>
      </c>
      <c r="B190" s="63">
        <f t="shared" si="6"/>
        <v>11</v>
      </c>
      <c r="C190" s="64">
        <v>41963</v>
      </c>
      <c r="D190" s="64" t="s">
        <v>61</v>
      </c>
      <c r="E190" s="64">
        <v>41963</v>
      </c>
      <c r="F190" s="67" t="s">
        <v>192</v>
      </c>
      <c r="G190" s="439"/>
      <c r="H190" s="81" t="s">
        <v>164</v>
      </c>
      <c r="I190" s="65">
        <v>40500000</v>
      </c>
      <c r="J190" s="66" t="s">
        <v>23</v>
      </c>
      <c r="K190" s="66" t="s">
        <v>101</v>
      </c>
      <c r="L190" s="90" t="str">
        <f>IF(AND('331-CT'!$E$7=TH!H190,OR(J190="331",K190="331")),"x","")</f>
        <v/>
      </c>
      <c r="M190" s="90" t="str">
        <f>IF(AND($B190&gt;='1111'!$N$10,$B190&lt;='1111'!$O$10,OR($J190=$M$7,$K190=$M$7)),"x","")</f>
        <v/>
      </c>
      <c r="N190" s="90" t="str">
        <f>IF(AND($J190=$M$7,$B190&lt;'1111'!$N$10),"x","")</f>
        <v/>
      </c>
      <c r="O190" s="90" t="str">
        <f>IF(AND($K190=$M$7,$B190&lt;'1111'!$N$10),"x","")</f>
        <v/>
      </c>
      <c r="P190" s="90" t="str">
        <f>IF(AND($B190&gt;='1121'!$N$9,$B190&lt;='1121'!$O$9,OR($J190=$P$7,$K190=$P$7)),"x","")</f>
        <v/>
      </c>
      <c r="Q190" s="90" t="str">
        <f>IF(AND($J190=$P$7,$B190&lt;'1121'!$N$9),"x","")</f>
        <v/>
      </c>
      <c r="R190" s="90" t="str">
        <f>IF(AND($K190=$P$7,$B190&lt;'1121'!$N$9),"x","")</f>
        <v/>
      </c>
      <c r="S190" s="90" t="str">
        <f>IF(AND($B190&gt;='1331'!$I$9,$B190&lt;='1331'!$J$9,OR($J190=$S$7,$K190=$S$7)),"x","")</f>
        <v/>
      </c>
      <c r="T190" s="90" t="str">
        <f>IF(AND($J190=$S$7,$B190&lt;'1331'!$I$9),"x","")</f>
        <v/>
      </c>
      <c r="U190" s="90" t="str">
        <f>IF(AND($K190=$S$7,$B190&lt;'1331'!$I$9),"x","")</f>
        <v/>
      </c>
      <c r="V190" s="90" t="str">
        <f>IF(AND('3411-CT'!$E$9=TH!H190,OR(TH!J190=TH!$V$7,K190=TH!$V$7)),"x","")</f>
        <v/>
      </c>
      <c r="W190" s="90" t="str">
        <f>IF(OR(TH!J190=TH!$W$7,K190=TH!$W$7),"x","")</f>
        <v/>
      </c>
      <c r="X190" s="90" t="str">
        <f t="shared" si="7"/>
        <v>4</v>
      </c>
    </row>
    <row r="191" spans="1:24" ht="15.75" customHeight="1">
      <c r="A191" s="158" t="str">
        <f>IF(B191&lt;&gt;"",IF(AND(B191&gt;=_TM1,B191&lt;=_TM2,OR(TH!J191="1111",TH!K191="1111")),TH!D191,""),"")</f>
        <v/>
      </c>
      <c r="B191" s="63">
        <f t="shared" si="6"/>
        <v>11</v>
      </c>
      <c r="C191" s="64">
        <v>41963</v>
      </c>
      <c r="D191" s="64" t="s">
        <v>11</v>
      </c>
      <c r="E191" s="64">
        <v>41963</v>
      </c>
      <c r="F191" s="67" t="s">
        <v>27</v>
      </c>
      <c r="G191" s="439"/>
      <c r="H191" s="81" t="s">
        <v>164</v>
      </c>
      <c r="I191" s="65">
        <v>40500000</v>
      </c>
      <c r="J191" s="66" t="s">
        <v>34</v>
      </c>
      <c r="K191" s="66" t="s">
        <v>23</v>
      </c>
      <c r="L191" s="90" t="str">
        <f>IF(AND('331-CT'!$E$7=TH!H191,OR(J191="331",K191="331")),"x","")</f>
        <v/>
      </c>
      <c r="M191" s="90" t="str">
        <f>IF(AND($B191&gt;='1111'!$N$10,$B191&lt;='1111'!$O$10,OR($J191=$M$7,$K191=$M$7)),"x","")</f>
        <v/>
      </c>
      <c r="N191" s="90" t="str">
        <f>IF(AND($J191=$M$7,$B191&lt;'1111'!$N$10),"x","")</f>
        <v/>
      </c>
      <c r="O191" s="90" t="str">
        <f>IF(AND($K191=$M$7,$B191&lt;'1111'!$N$10),"x","")</f>
        <v/>
      </c>
      <c r="P191" s="90" t="str">
        <f>IF(AND($B191&gt;='1121'!$N$9,$B191&lt;='1121'!$O$9,OR($J191=$P$7,$K191=$P$7)),"x","")</f>
        <v>x</v>
      </c>
      <c r="Q191" s="90" t="str">
        <f>IF(AND($J191=$P$7,$B191&lt;'1121'!$N$9),"x","")</f>
        <v/>
      </c>
      <c r="R191" s="90" t="str">
        <f>IF(AND($K191=$P$7,$B191&lt;'1121'!$N$9),"x","")</f>
        <v/>
      </c>
      <c r="S191" s="90" t="str">
        <f>IF(AND($B191&gt;='1331'!$I$9,$B191&lt;='1331'!$J$9,OR($J191=$S$7,$K191=$S$7)),"x","")</f>
        <v/>
      </c>
      <c r="T191" s="90" t="str">
        <f>IF(AND($J191=$S$7,$B191&lt;'1331'!$I$9),"x","")</f>
        <v/>
      </c>
      <c r="U191" s="90" t="str">
        <f>IF(AND($K191=$S$7,$B191&lt;'1331'!$I$9),"x","")</f>
        <v/>
      </c>
      <c r="V191" s="90" t="str">
        <f>IF(AND('3411-CT'!$E$9=TH!H191,OR(TH!J191=TH!$V$7,K191=TH!$V$7)),"x","")</f>
        <v/>
      </c>
      <c r="W191" s="90" t="str">
        <f>IF(OR(TH!J191=TH!$W$7,K191=TH!$W$7),"x","")</f>
        <v/>
      </c>
      <c r="X191" s="90" t="str">
        <f t="shared" si="7"/>
        <v>4</v>
      </c>
    </row>
    <row r="192" spans="1:24" ht="15.75" customHeight="1">
      <c r="A192" s="158" t="str">
        <f>IF(B192&lt;&gt;"",IF(AND(B192&gt;=_TM1,B192&lt;=_TM2,OR(TH!J192="1111",TH!K192="1111")),TH!D192,""),"")</f>
        <v/>
      </c>
      <c r="B192" s="63">
        <f t="shared" si="6"/>
        <v>11</v>
      </c>
      <c r="C192" s="64">
        <v>41963</v>
      </c>
      <c r="D192" s="64" t="s">
        <v>8</v>
      </c>
      <c r="E192" s="64">
        <v>41963</v>
      </c>
      <c r="F192" s="67" t="s">
        <v>349</v>
      </c>
      <c r="G192" s="439"/>
      <c r="H192" s="79" t="s">
        <v>166</v>
      </c>
      <c r="I192" s="65">
        <v>8614699</v>
      </c>
      <c r="J192" s="66" t="s">
        <v>138</v>
      </c>
      <c r="K192" s="66" t="s">
        <v>34</v>
      </c>
      <c r="L192" s="90" t="str">
        <f>IF(AND('331-CT'!$E$7=TH!H192,OR(J192="331",K192="331")),"x","")</f>
        <v/>
      </c>
      <c r="M192" s="90" t="str">
        <f>IF(AND($B192&gt;='1111'!$N$10,$B192&lt;='1111'!$O$10,OR($J192=$M$7,$K192=$M$7)),"x","")</f>
        <v/>
      </c>
      <c r="N192" s="90" t="str">
        <f>IF(AND($J192=$M$7,$B192&lt;'1111'!$N$10),"x","")</f>
        <v/>
      </c>
      <c r="O192" s="90" t="str">
        <f>IF(AND($K192=$M$7,$B192&lt;'1111'!$N$10),"x","")</f>
        <v/>
      </c>
      <c r="P192" s="90" t="str">
        <f>IF(AND($B192&gt;='1121'!$N$9,$B192&lt;='1121'!$O$9,OR($J192=$P$7,$K192=$P$7)),"x","")</f>
        <v>x</v>
      </c>
      <c r="Q192" s="90" t="str">
        <f>IF(AND($J192=$P$7,$B192&lt;'1121'!$N$9),"x","")</f>
        <v/>
      </c>
      <c r="R192" s="90" t="str">
        <f>IF(AND($K192=$P$7,$B192&lt;'1121'!$N$9),"x","")</f>
        <v/>
      </c>
      <c r="S192" s="90" t="str">
        <f>IF(AND($B192&gt;='1331'!$I$9,$B192&lt;='1331'!$J$9,OR($J192=$S$7,$K192=$S$7)),"x","")</f>
        <v/>
      </c>
      <c r="T192" s="90" t="str">
        <f>IF(AND($J192=$S$7,$B192&lt;'1331'!$I$9),"x","")</f>
        <v/>
      </c>
      <c r="U192" s="90" t="str">
        <f>IF(AND($K192=$S$7,$B192&lt;'1331'!$I$9),"x","")</f>
        <v/>
      </c>
      <c r="V192" s="90" t="str">
        <f>IF(AND('3411-CT'!$E$9=TH!H192,OR(TH!J192=TH!$V$7,K192=TH!$V$7)),"x","")</f>
        <v/>
      </c>
      <c r="W192" s="90" t="str">
        <f>IF(OR(TH!J192=TH!$W$7,K192=TH!$W$7),"x","")</f>
        <v/>
      </c>
      <c r="X192" s="90" t="str">
        <f t="shared" si="7"/>
        <v>4</v>
      </c>
    </row>
    <row r="193" spans="1:24" ht="15.75" customHeight="1">
      <c r="A193" s="158" t="str">
        <f>IF(B193&lt;&gt;"",IF(AND(B193&gt;=_TM1,B193&lt;=_TM2,OR(TH!J193="1111",TH!K193="1111")),TH!D193,""),"")</f>
        <v/>
      </c>
      <c r="B193" s="63">
        <f t="shared" si="6"/>
        <v>11</v>
      </c>
      <c r="C193" s="64">
        <v>41963</v>
      </c>
      <c r="D193" s="64" t="s">
        <v>8</v>
      </c>
      <c r="E193" s="64">
        <v>41963</v>
      </c>
      <c r="F193" s="67" t="s">
        <v>82</v>
      </c>
      <c r="G193" s="439"/>
      <c r="H193" s="79" t="s">
        <v>167</v>
      </c>
      <c r="I193" s="65">
        <v>31679861</v>
      </c>
      <c r="J193" s="66" t="s">
        <v>138</v>
      </c>
      <c r="K193" s="66" t="s">
        <v>34</v>
      </c>
      <c r="L193" s="90" t="str">
        <f>IF(AND('331-CT'!$E$7=TH!H193,OR(J193="331",K193="331")),"x","")</f>
        <v/>
      </c>
      <c r="M193" s="90" t="str">
        <f>IF(AND($B193&gt;='1111'!$N$10,$B193&lt;='1111'!$O$10,OR($J193=$M$7,$K193=$M$7)),"x","")</f>
        <v/>
      </c>
      <c r="N193" s="90" t="str">
        <f>IF(AND($J193=$M$7,$B193&lt;'1111'!$N$10),"x","")</f>
        <v/>
      </c>
      <c r="O193" s="90" t="str">
        <f>IF(AND($K193=$M$7,$B193&lt;'1111'!$N$10),"x","")</f>
        <v/>
      </c>
      <c r="P193" s="90" t="str">
        <f>IF(AND($B193&gt;='1121'!$N$9,$B193&lt;='1121'!$O$9,OR($J193=$P$7,$K193=$P$7)),"x","")</f>
        <v>x</v>
      </c>
      <c r="Q193" s="90" t="str">
        <f>IF(AND($J193=$P$7,$B193&lt;'1121'!$N$9),"x","")</f>
        <v/>
      </c>
      <c r="R193" s="90" t="str">
        <f>IF(AND($K193=$P$7,$B193&lt;'1121'!$N$9),"x","")</f>
        <v/>
      </c>
      <c r="S193" s="90" t="str">
        <f>IF(AND($B193&gt;='1331'!$I$9,$B193&lt;='1331'!$J$9,OR($J193=$S$7,$K193=$S$7)),"x","")</f>
        <v/>
      </c>
      <c r="T193" s="90" t="str">
        <f>IF(AND($J193=$S$7,$B193&lt;'1331'!$I$9),"x","")</f>
        <v/>
      </c>
      <c r="U193" s="90" t="str">
        <f>IF(AND($K193=$S$7,$B193&lt;'1331'!$I$9),"x","")</f>
        <v/>
      </c>
      <c r="V193" s="90" t="str">
        <f>IF(AND('3411-CT'!$E$9=TH!H193,OR(TH!J193=TH!$V$7,K193=TH!$V$7)),"x","")</f>
        <v/>
      </c>
      <c r="W193" s="90" t="str">
        <f>IF(OR(TH!J193=TH!$W$7,K193=TH!$W$7),"x","")</f>
        <v/>
      </c>
      <c r="X193" s="90" t="str">
        <f t="shared" si="7"/>
        <v>4</v>
      </c>
    </row>
    <row r="194" spans="1:24" ht="15.75" customHeight="1">
      <c r="A194" s="158" t="str">
        <f>IF(B194&lt;&gt;"",IF(AND(B194&gt;=_TM1,B194&lt;=_TM2,OR(TH!J194="1111",TH!K194="1111")),TH!D194,""),"")</f>
        <v/>
      </c>
      <c r="B194" s="63">
        <f t="shared" si="6"/>
        <v>11</v>
      </c>
      <c r="C194" s="64">
        <v>41963</v>
      </c>
      <c r="D194" s="64" t="s">
        <v>8</v>
      </c>
      <c r="E194" s="64">
        <v>41963</v>
      </c>
      <c r="F194" s="67" t="s">
        <v>301</v>
      </c>
      <c r="G194" s="439"/>
      <c r="H194" s="79" t="s">
        <v>55</v>
      </c>
      <c r="I194" s="65">
        <v>1000000000</v>
      </c>
      <c r="J194" s="66" t="s">
        <v>9</v>
      </c>
      <c r="K194" s="66" t="s">
        <v>34</v>
      </c>
      <c r="L194" s="90" t="str">
        <f>IF(AND('331-CT'!$E$7=TH!H194,OR(J194="331",K194="331")),"x","")</f>
        <v/>
      </c>
      <c r="M194" s="90" t="str">
        <f>IF(AND($B194&gt;='1111'!$N$10,$B194&lt;='1111'!$O$10,OR($J194=$M$7,$K194=$M$7)),"x","")</f>
        <v/>
      </c>
      <c r="N194" s="90" t="str">
        <f>IF(AND($J194=$M$7,$B194&lt;'1111'!$N$10),"x","")</f>
        <v/>
      </c>
      <c r="O194" s="90" t="str">
        <f>IF(AND($K194=$M$7,$B194&lt;'1111'!$N$10),"x","")</f>
        <v/>
      </c>
      <c r="P194" s="90" t="str">
        <f>IF(AND($B194&gt;='1121'!$N$9,$B194&lt;='1121'!$O$9,OR($J194=$P$7,$K194=$P$7)),"x","")</f>
        <v>x</v>
      </c>
      <c r="Q194" s="90" t="str">
        <f>IF(AND($J194=$P$7,$B194&lt;'1121'!$N$9),"x","")</f>
        <v/>
      </c>
      <c r="R194" s="90" t="str">
        <f>IF(AND($K194=$P$7,$B194&lt;'1121'!$N$9),"x","")</f>
        <v/>
      </c>
      <c r="S194" s="90" t="str">
        <f>IF(AND($B194&gt;='1331'!$I$9,$B194&lt;='1331'!$J$9,OR($J194=$S$7,$K194=$S$7)),"x","")</f>
        <v/>
      </c>
      <c r="T194" s="90" t="str">
        <f>IF(AND($J194=$S$7,$B194&lt;'1331'!$I$9),"x","")</f>
        <v/>
      </c>
      <c r="U194" s="90" t="str">
        <f>IF(AND($K194=$S$7,$B194&lt;'1331'!$I$9),"x","")</f>
        <v/>
      </c>
      <c r="V194" s="90" t="str">
        <f>IF(AND('3411-CT'!$E$9=TH!H194,OR(TH!J194=TH!$V$7,K194=TH!$V$7)),"x","")</f>
        <v/>
      </c>
      <c r="W194" s="90" t="str">
        <f>IF(OR(TH!J194=TH!$W$7,K194=TH!$W$7),"x","")</f>
        <v/>
      </c>
      <c r="X194" s="90" t="str">
        <f t="shared" si="7"/>
        <v>4</v>
      </c>
    </row>
    <row r="195" spans="1:24" ht="15.75" customHeight="1">
      <c r="A195" s="158" t="str">
        <f>IF(B195&lt;&gt;"",IF(AND(B195&gt;=_TM1,B195&lt;=_TM2,OR(TH!J195="1111",TH!K195="1111")),TH!D195,""),"")</f>
        <v/>
      </c>
      <c r="B195" s="63">
        <f t="shared" si="6"/>
        <v>11</v>
      </c>
      <c r="C195" s="64">
        <v>41963</v>
      </c>
      <c r="D195" s="64" t="s">
        <v>8</v>
      </c>
      <c r="E195" s="64">
        <v>41963</v>
      </c>
      <c r="F195" s="67" t="s">
        <v>21</v>
      </c>
      <c r="G195" s="439"/>
      <c r="H195" s="79"/>
      <c r="I195" s="65">
        <v>500000</v>
      </c>
      <c r="J195" s="66" t="s">
        <v>140</v>
      </c>
      <c r="K195" s="66" t="s">
        <v>34</v>
      </c>
      <c r="L195" s="90" t="str">
        <f>IF(AND('331-CT'!$E$7=TH!H195,OR(J195="331",K195="331")),"x","")</f>
        <v/>
      </c>
      <c r="M195" s="90" t="str">
        <f>IF(AND($B195&gt;='1111'!$N$10,$B195&lt;='1111'!$O$10,OR($J195=$M$7,$K195=$M$7)),"x","")</f>
        <v/>
      </c>
      <c r="N195" s="90" t="str">
        <f>IF(AND($J195=$M$7,$B195&lt;'1111'!$N$10),"x","")</f>
        <v/>
      </c>
      <c r="O195" s="90" t="str">
        <f>IF(AND($K195=$M$7,$B195&lt;'1111'!$N$10),"x","")</f>
        <v/>
      </c>
      <c r="P195" s="90" t="str">
        <f>IF(AND($B195&gt;='1121'!$N$9,$B195&lt;='1121'!$O$9,OR($J195=$P$7,$K195=$P$7)),"x","")</f>
        <v>x</v>
      </c>
      <c r="Q195" s="90" t="str">
        <f>IF(AND($J195=$P$7,$B195&lt;'1121'!$N$9),"x","")</f>
        <v/>
      </c>
      <c r="R195" s="90" t="str">
        <f>IF(AND($K195=$P$7,$B195&lt;'1121'!$N$9),"x","")</f>
        <v/>
      </c>
      <c r="S195" s="90" t="str">
        <f>IF(AND($B195&gt;='1331'!$I$9,$B195&lt;='1331'!$J$9,OR($J195=$S$7,$K195=$S$7)),"x","")</f>
        <v/>
      </c>
      <c r="T195" s="90" t="str">
        <f>IF(AND($J195=$S$7,$B195&lt;'1331'!$I$9),"x","")</f>
        <v/>
      </c>
      <c r="U195" s="90" t="str">
        <f>IF(AND($K195=$S$7,$B195&lt;'1331'!$I$9),"x","")</f>
        <v/>
      </c>
      <c r="V195" s="90" t="str">
        <f>IF(AND('3411-CT'!$E$9=TH!H195,OR(TH!J195=TH!$V$7,K195=TH!$V$7)),"x","")</f>
        <v/>
      </c>
      <c r="W195" s="90" t="str">
        <f>IF(OR(TH!J195=TH!$W$7,K195=TH!$W$7),"x","")</f>
        <v/>
      </c>
      <c r="X195" s="90" t="str">
        <f t="shared" si="7"/>
        <v>4</v>
      </c>
    </row>
    <row r="196" spans="1:24" ht="15.75" customHeight="1">
      <c r="A196" s="158" t="str">
        <f>IF(B196&lt;&gt;"",IF(AND(B196&gt;=_TM1,B196&lt;=_TM2,OR(TH!J196="1111",TH!K196="1111")),TH!D196,""),"")</f>
        <v/>
      </c>
      <c r="B196" s="63">
        <f t="shared" si="6"/>
        <v>11</v>
      </c>
      <c r="C196" s="64">
        <v>41963</v>
      </c>
      <c r="D196" s="64" t="s">
        <v>8</v>
      </c>
      <c r="E196" s="64">
        <v>41963</v>
      </c>
      <c r="F196" s="67" t="s">
        <v>22</v>
      </c>
      <c r="G196" s="439"/>
      <c r="H196" s="79"/>
      <c r="I196" s="65">
        <v>50000</v>
      </c>
      <c r="J196" s="66" t="s">
        <v>10</v>
      </c>
      <c r="K196" s="66" t="s">
        <v>34</v>
      </c>
      <c r="L196" s="90" t="str">
        <f>IF(AND('331-CT'!$E$7=TH!H196,OR(J196="331",K196="331")),"x","")</f>
        <v/>
      </c>
      <c r="M196" s="90" t="str">
        <f>IF(AND($B196&gt;='1111'!$N$10,$B196&lt;='1111'!$O$10,OR($J196=$M$7,$K196=$M$7)),"x","")</f>
        <v/>
      </c>
      <c r="N196" s="90" t="str">
        <f>IF(AND($J196=$M$7,$B196&lt;'1111'!$N$10),"x","")</f>
        <v/>
      </c>
      <c r="O196" s="90" t="str">
        <f>IF(AND($K196=$M$7,$B196&lt;'1111'!$N$10),"x","")</f>
        <v/>
      </c>
      <c r="P196" s="90" t="str">
        <f>IF(AND($B196&gt;='1121'!$N$9,$B196&lt;='1121'!$O$9,OR($J196=$P$7,$K196=$P$7)),"x","")</f>
        <v>x</v>
      </c>
      <c r="Q196" s="90" t="str">
        <f>IF(AND($J196=$P$7,$B196&lt;'1121'!$N$9),"x","")</f>
        <v/>
      </c>
      <c r="R196" s="90" t="str">
        <f>IF(AND($K196=$P$7,$B196&lt;'1121'!$N$9),"x","")</f>
        <v/>
      </c>
      <c r="S196" s="90" t="str">
        <f>IF(AND($B196&gt;='1331'!$I$9,$B196&lt;='1331'!$J$9,OR($J196=$S$7,$K196=$S$7)),"x","")</f>
        <v/>
      </c>
      <c r="T196" s="90" t="str">
        <f>IF(AND($J196=$S$7,$B196&lt;'1331'!$I$9),"x","")</f>
        <v/>
      </c>
      <c r="U196" s="90" t="str">
        <f>IF(AND($K196=$S$7,$B196&lt;'1331'!$I$9),"x","")</f>
        <v/>
      </c>
      <c r="V196" s="90" t="str">
        <f>IF(AND('3411-CT'!$E$9=TH!H196,OR(TH!J196=TH!$V$7,K196=TH!$V$7)),"x","")</f>
        <v/>
      </c>
      <c r="W196" s="90" t="str">
        <f>IF(OR(TH!J196=TH!$W$7,K196=TH!$W$7),"x","")</f>
        <v/>
      </c>
      <c r="X196" s="90" t="str">
        <f t="shared" si="7"/>
        <v>4</v>
      </c>
    </row>
    <row r="197" spans="1:24" ht="15.75" customHeight="1">
      <c r="A197" s="158" t="str">
        <f>IF(B197&lt;&gt;"",IF(AND(B197&gt;=_TM1,B197&lt;=_TM2,OR(TH!J197="1111",TH!K197="1111")),TH!D197,""),"")</f>
        <v/>
      </c>
      <c r="B197" s="63">
        <f t="shared" si="6"/>
        <v>11</v>
      </c>
      <c r="C197" s="64">
        <v>41963</v>
      </c>
      <c r="D197" s="64" t="s">
        <v>11</v>
      </c>
      <c r="E197" s="64">
        <v>41963</v>
      </c>
      <c r="F197" s="67" t="s">
        <v>350</v>
      </c>
      <c r="G197" s="439"/>
      <c r="H197" s="80" t="s">
        <v>168</v>
      </c>
      <c r="I197" s="65">
        <v>1500000000</v>
      </c>
      <c r="J197" s="66" t="s">
        <v>34</v>
      </c>
      <c r="K197" s="66" t="s">
        <v>125</v>
      </c>
      <c r="L197" s="90" t="str">
        <f>IF(AND('331-CT'!$E$7=TH!H197,OR(J197="331",K197="331")),"x","")</f>
        <v/>
      </c>
      <c r="M197" s="90" t="str">
        <f>IF(AND($B197&gt;='1111'!$N$10,$B197&lt;='1111'!$O$10,OR($J197=$M$7,$K197=$M$7)),"x","")</f>
        <v/>
      </c>
      <c r="N197" s="90" t="str">
        <f>IF(AND($J197=$M$7,$B197&lt;'1111'!$N$10),"x","")</f>
        <v/>
      </c>
      <c r="O197" s="90" t="str">
        <f>IF(AND($K197=$M$7,$B197&lt;'1111'!$N$10),"x","")</f>
        <v/>
      </c>
      <c r="P197" s="90" t="str">
        <f>IF(AND($B197&gt;='1121'!$N$9,$B197&lt;='1121'!$O$9,OR($J197=$P$7,$K197=$P$7)),"x","")</f>
        <v>x</v>
      </c>
      <c r="Q197" s="90" t="str">
        <f>IF(AND($J197=$P$7,$B197&lt;'1121'!$N$9),"x","")</f>
        <v/>
      </c>
      <c r="R197" s="90" t="str">
        <f>IF(AND($K197=$P$7,$B197&lt;'1121'!$N$9),"x","")</f>
        <v/>
      </c>
      <c r="S197" s="90" t="str">
        <f>IF(AND($B197&gt;='1331'!$I$9,$B197&lt;='1331'!$J$9,OR($J197=$S$7,$K197=$S$7)),"x","")</f>
        <v/>
      </c>
      <c r="T197" s="90" t="str">
        <f>IF(AND($J197=$S$7,$B197&lt;'1331'!$I$9),"x","")</f>
        <v/>
      </c>
      <c r="U197" s="90" t="str">
        <f>IF(AND($K197=$S$7,$B197&lt;'1331'!$I$9),"x","")</f>
        <v/>
      </c>
      <c r="V197" s="90" t="str">
        <f>IF(AND('3411-CT'!$E$9=TH!H197,OR(TH!J197=TH!$V$7,K197=TH!$V$7)),"x","")</f>
        <v/>
      </c>
      <c r="W197" s="90" t="str">
        <f>IF(OR(TH!J197=TH!$W$7,K197=TH!$W$7),"x","")</f>
        <v/>
      </c>
      <c r="X197" s="90" t="str">
        <f t="shared" si="7"/>
        <v>4</v>
      </c>
    </row>
    <row r="198" spans="1:24" ht="15.75" customHeight="1">
      <c r="A198" s="158" t="str">
        <f>IF(B198&lt;&gt;"",IF(AND(B198&gt;=_TM1,B198&lt;=_TM2,OR(TH!J198="1111",TH!K198="1111")),TH!D198,""),"")</f>
        <v/>
      </c>
      <c r="B198" s="63">
        <f t="shared" si="6"/>
        <v>11</v>
      </c>
      <c r="C198" s="64">
        <v>41968</v>
      </c>
      <c r="D198" s="64" t="s">
        <v>11</v>
      </c>
      <c r="E198" s="64">
        <v>41968</v>
      </c>
      <c r="F198" s="67" t="s">
        <v>66</v>
      </c>
      <c r="G198" s="439"/>
      <c r="H198" s="79"/>
      <c r="I198" s="65">
        <v>61267</v>
      </c>
      <c r="J198" s="66" t="s">
        <v>34</v>
      </c>
      <c r="K198" s="66" t="s">
        <v>67</v>
      </c>
      <c r="L198" s="90" t="str">
        <f>IF(AND('331-CT'!$E$7=TH!H198,OR(J198="331",K198="331")),"x","")</f>
        <v/>
      </c>
      <c r="M198" s="90" t="str">
        <f>IF(AND($B198&gt;='1111'!$N$10,$B198&lt;='1111'!$O$10,OR($J198=$M$7,$K198=$M$7)),"x","")</f>
        <v/>
      </c>
      <c r="N198" s="90" t="str">
        <f>IF(AND($J198=$M$7,$B198&lt;'1111'!$N$10),"x","")</f>
        <v/>
      </c>
      <c r="O198" s="90" t="str">
        <f>IF(AND($K198=$M$7,$B198&lt;'1111'!$N$10),"x","")</f>
        <v/>
      </c>
      <c r="P198" s="90" t="str">
        <f>IF(AND($B198&gt;='1121'!$N$9,$B198&lt;='1121'!$O$9,OR($J198=$P$7,$K198=$P$7)),"x","")</f>
        <v>x</v>
      </c>
      <c r="Q198" s="90" t="str">
        <f>IF(AND($J198=$P$7,$B198&lt;'1121'!$N$9),"x","")</f>
        <v/>
      </c>
      <c r="R198" s="90" t="str">
        <f>IF(AND($K198=$P$7,$B198&lt;'1121'!$N$9),"x","")</f>
        <v/>
      </c>
      <c r="S198" s="90" t="str">
        <f>IF(AND($B198&gt;='1331'!$I$9,$B198&lt;='1331'!$J$9,OR($J198=$S$7,$K198=$S$7)),"x","")</f>
        <v/>
      </c>
      <c r="T198" s="90" t="str">
        <f>IF(AND($J198=$S$7,$B198&lt;'1331'!$I$9),"x","")</f>
        <v/>
      </c>
      <c r="U198" s="90" t="str">
        <f>IF(AND($K198=$S$7,$B198&lt;'1331'!$I$9),"x","")</f>
        <v/>
      </c>
      <c r="V198" s="90" t="str">
        <f>IF(AND('3411-CT'!$E$9=TH!H198,OR(TH!J198=TH!$V$7,K198=TH!$V$7)),"x","")</f>
        <v/>
      </c>
      <c r="W198" s="90" t="str">
        <f>IF(OR(TH!J198=TH!$W$7,K198=TH!$W$7),"x","")</f>
        <v/>
      </c>
      <c r="X198" s="90" t="str">
        <f t="shared" si="7"/>
        <v>4</v>
      </c>
    </row>
    <row r="199" spans="1:24" ht="15.75" customHeight="1">
      <c r="A199" s="158" t="str">
        <f>IF(B199&lt;&gt;"",IF(AND(B199&gt;=_TM1,B199&lt;=_TM2,OR(TH!J199="1111",TH!K199="1111")),TH!D199,""),"")</f>
        <v/>
      </c>
      <c r="B199" s="63">
        <f t="shared" si="6"/>
        <v>12</v>
      </c>
      <c r="C199" s="64">
        <v>41984</v>
      </c>
      <c r="D199" s="64" t="s">
        <v>8</v>
      </c>
      <c r="E199" s="64">
        <v>41984</v>
      </c>
      <c r="F199" s="67" t="s">
        <v>301</v>
      </c>
      <c r="G199" s="439"/>
      <c r="H199" s="79" t="s">
        <v>55</v>
      </c>
      <c r="I199" s="65">
        <v>1000000000</v>
      </c>
      <c r="J199" s="66" t="s">
        <v>9</v>
      </c>
      <c r="K199" s="66" t="s">
        <v>34</v>
      </c>
      <c r="L199" s="90" t="str">
        <f>IF(AND('331-CT'!$E$7=TH!H199,OR(J199="331",K199="331")),"x","")</f>
        <v/>
      </c>
      <c r="M199" s="90" t="str">
        <f>IF(AND($B199&gt;='1111'!$N$10,$B199&lt;='1111'!$O$10,OR($J199=$M$7,$K199=$M$7)),"x","")</f>
        <v/>
      </c>
      <c r="N199" s="90" t="str">
        <f>IF(AND($J199=$M$7,$B199&lt;'1111'!$N$10),"x","")</f>
        <v/>
      </c>
      <c r="O199" s="90" t="str">
        <f>IF(AND($K199=$M$7,$B199&lt;'1111'!$N$10),"x","")</f>
        <v/>
      </c>
      <c r="P199" s="90" t="str">
        <f>IF(AND($B199&gt;='1121'!$N$9,$B199&lt;='1121'!$O$9,OR($J199=$P$7,$K199=$P$7)),"x","")</f>
        <v>x</v>
      </c>
      <c r="Q199" s="90" t="str">
        <f>IF(AND($J199=$P$7,$B199&lt;'1121'!$N$9),"x","")</f>
        <v/>
      </c>
      <c r="R199" s="90" t="str">
        <f>IF(AND($K199=$P$7,$B199&lt;'1121'!$N$9),"x","")</f>
        <v/>
      </c>
      <c r="S199" s="90" t="str">
        <f>IF(AND($B199&gt;='1331'!$I$9,$B199&lt;='1331'!$J$9,OR($J199=$S$7,$K199=$S$7)),"x","")</f>
        <v/>
      </c>
      <c r="T199" s="90" t="str">
        <f>IF(AND($J199=$S$7,$B199&lt;'1331'!$I$9),"x","")</f>
        <v/>
      </c>
      <c r="U199" s="90" t="str">
        <f>IF(AND($K199=$S$7,$B199&lt;'1331'!$I$9),"x","")</f>
        <v/>
      </c>
      <c r="V199" s="90" t="str">
        <f>IF(AND('3411-CT'!$E$9=TH!H199,OR(TH!J199=TH!$V$7,K199=TH!$V$7)),"x","")</f>
        <v/>
      </c>
      <c r="W199" s="90" t="str">
        <f>IF(OR(TH!J199=TH!$W$7,K199=TH!$W$7),"x","")</f>
        <v/>
      </c>
      <c r="X199" s="90" t="str">
        <f t="shared" si="7"/>
        <v>4</v>
      </c>
    </row>
    <row r="200" spans="1:24" ht="15.75" customHeight="1">
      <c r="A200" s="158" t="str">
        <f>IF(B200&lt;&gt;"",IF(AND(B200&gt;=_TM1,B200&lt;=_TM2,OR(TH!J200="1111",TH!K200="1111")),TH!D200,""),"")</f>
        <v/>
      </c>
      <c r="B200" s="63">
        <f t="shared" si="6"/>
        <v>12</v>
      </c>
      <c r="C200" s="64">
        <v>41984</v>
      </c>
      <c r="D200" s="64" t="s">
        <v>11</v>
      </c>
      <c r="E200" s="64">
        <v>41984</v>
      </c>
      <c r="F200" s="67" t="s">
        <v>351</v>
      </c>
      <c r="G200" s="439"/>
      <c r="H200" s="79" t="s">
        <v>170</v>
      </c>
      <c r="I200" s="65">
        <v>1000000000</v>
      </c>
      <c r="J200" s="66" t="s">
        <v>34</v>
      </c>
      <c r="K200" s="66" t="s">
        <v>125</v>
      </c>
      <c r="L200" s="90" t="str">
        <f>IF(AND('331-CT'!$E$7=TH!H200,OR(J200="331",K200="331")),"x","")</f>
        <v/>
      </c>
      <c r="M200" s="90" t="str">
        <f>IF(AND($B200&gt;='1111'!$N$10,$B200&lt;='1111'!$O$10,OR($J200=$M$7,$K200=$M$7)),"x","")</f>
        <v/>
      </c>
      <c r="N200" s="90" t="str">
        <f>IF(AND($J200=$M$7,$B200&lt;'1111'!$N$10),"x","")</f>
        <v/>
      </c>
      <c r="O200" s="90" t="str">
        <f>IF(AND($K200=$M$7,$B200&lt;'1111'!$N$10),"x","")</f>
        <v/>
      </c>
      <c r="P200" s="90" t="str">
        <f>IF(AND($B200&gt;='1121'!$N$9,$B200&lt;='1121'!$O$9,OR($J200=$P$7,$K200=$P$7)),"x","")</f>
        <v>x</v>
      </c>
      <c r="Q200" s="90" t="str">
        <f>IF(AND($J200=$P$7,$B200&lt;'1121'!$N$9),"x","")</f>
        <v/>
      </c>
      <c r="R200" s="90" t="str">
        <f>IF(AND($K200=$P$7,$B200&lt;'1121'!$N$9),"x","")</f>
        <v/>
      </c>
      <c r="S200" s="90" t="str">
        <f>IF(AND($B200&gt;='1331'!$I$9,$B200&lt;='1331'!$J$9,OR($J200=$S$7,$K200=$S$7)),"x","")</f>
        <v/>
      </c>
      <c r="T200" s="90" t="str">
        <f>IF(AND($J200=$S$7,$B200&lt;'1331'!$I$9),"x","")</f>
        <v/>
      </c>
      <c r="U200" s="90" t="str">
        <f>IF(AND($K200=$S$7,$B200&lt;'1331'!$I$9),"x","")</f>
        <v/>
      </c>
      <c r="V200" s="90" t="str">
        <f>IF(AND('3411-CT'!$E$9=TH!H200,OR(TH!J200=TH!$V$7,K200=TH!$V$7)),"x","")</f>
        <v/>
      </c>
      <c r="W200" s="90" t="str">
        <f>IF(OR(TH!J200=TH!$W$7,K200=TH!$W$7),"x","")</f>
        <v/>
      </c>
      <c r="X200" s="90" t="str">
        <f t="shared" si="7"/>
        <v>4</v>
      </c>
    </row>
    <row r="201" spans="1:24" ht="15.75" customHeight="1">
      <c r="A201" s="158" t="str">
        <f>IF(B201&lt;&gt;"",IF(AND(B201&gt;=_TM1,B201&lt;=_TM2,OR(TH!J201="1111",TH!K201="1111")),TH!D201,""),"")</f>
        <v/>
      </c>
      <c r="B201" s="63">
        <f t="shared" si="6"/>
        <v>12</v>
      </c>
      <c r="C201" s="64">
        <v>41993</v>
      </c>
      <c r="D201" s="64" t="s">
        <v>8</v>
      </c>
      <c r="E201" s="64">
        <v>41993</v>
      </c>
      <c r="F201" s="67" t="s">
        <v>76</v>
      </c>
      <c r="G201" s="449"/>
      <c r="H201" s="79" t="s">
        <v>166</v>
      </c>
      <c r="I201" s="65">
        <v>8336805</v>
      </c>
      <c r="J201" s="66" t="s">
        <v>138</v>
      </c>
      <c r="K201" s="66" t="s">
        <v>34</v>
      </c>
      <c r="L201" s="90" t="str">
        <f>IF(AND('331-CT'!$E$7=TH!H201,OR(J201="331",K201="331")),"x","")</f>
        <v/>
      </c>
      <c r="M201" s="90" t="str">
        <f>IF(AND($B201&gt;='1111'!$N$10,$B201&lt;='1111'!$O$10,OR($J201=$M$7,$K201=$M$7)),"x","")</f>
        <v/>
      </c>
      <c r="N201" s="90" t="str">
        <f>IF(AND($J201=$M$7,$B201&lt;'1111'!$N$10),"x","")</f>
        <v/>
      </c>
      <c r="O201" s="90" t="str">
        <f>IF(AND($K201=$M$7,$B201&lt;'1111'!$N$10),"x","")</f>
        <v/>
      </c>
      <c r="P201" s="90" t="str">
        <f>IF(AND($B201&gt;='1121'!$N$9,$B201&lt;='1121'!$O$9,OR($J201=$P$7,$K201=$P$7)),"x","")</f>
        <v>x</v>
      </c>
      <c r="Q201" s="90" t="str">
        <f>IF(AND($J201=$P$7,$B201&lt;'1121'!$N$9),"x","")</f>
        <v/>
      </c>
      <c r="R201" s="90" t="str">
        <f>IF(AND($K201=$P$7,$B201&lt;'1121'!$N$9),"x","")</f>
        <v/>
      </c>
      <c r="S201" s="90" t="str">
        <f>IF(AND($B201&gt;='1331'!$I$9,$B201&lt;='1331'!$J$9,OR($J201=$S$7,$K201=$S$7)),"x","")</f>
        <v/>
      </c>
      <c r="T201" s="90" t="str">
        <f>IF(AND($J201=$S$7,$B201&lt;'1331'!$I$9),"x","")</f>
        <v/>
      </c>
      <c r="U201" s="90" t="str">
        <f>IF(AND($K201=$S$7,$B201&lt;'1331'!$I$9),"x","")</f>
        <v/>
      </c>
      <c r="V201" s="90" t="str">
        <f>IF(AND('3411-CT'!$E$9=TH!H201,OR(TH!J201=TH!$V$7,K201=TH!$V$7)),"x","")</f>
        <v/>
      </c>
      <c r="W201" s="90" t="str">
        <f>IF(OR(TH!J201=TH!$W$7,K201=TH!$W$7),"x","")</f>
        <v/>
      </c>
      <c r="X201" s="90" t="str">
        <f t="shared" si="7"/>
        <v>4</v>
      </c>
    </row>
    <row r="202" spans="1:24" ht="15.75" customHeight="1">
      <c r="A202" s="158" t="str">
        <f>IF(B202&lt;&gt;"",IF(AND(B202&gt;=_TM1,B202&lt;=_TM2,OR(TH!J202="1111",TH!K202="1111")),TH!D202,""),"")</f>
        <v/>
      </c>
      <c r="B202" s="63">
        <f t="shared" si="6"/>
        <v>12</v>
      </c>
      <c r="C202" s="64">
        <v>41993</v>
      </c>
      <c r="D202" s="64" t="s">
        <v>8</v>
      </c>
      <c r="E202" s="64">
        <v>41993</v>
      </c>
      <c r="F202" s="67" t="s">
        <v>82</v>
      </c>
      <c r="G202" s="449"/>
      <c r="H202" s="79" t="s">
        <v>167</v>
      </c>
      <c r="I202" s="65">
        <v>16673611</v>
      </c>
      <c r="J202" s="66" t="s">
        <v>138</v>
      </c>
      <c r="K202" s="66" t="s">
        <v>34</v>
      </c>
      <c r="L202" s="90" t="str">
        <f>IF(AND('331-CT'!$E$7=TH!H202,OR(J202="331",K202="331")),"x","")</f>
        <v/>
      </c>
      <c r="M202" s="90" t="str">
        <f>IF(AND($B202&gt;='1111'!$N$10,$B202&lt;='1111'!$O$10,OR($J202=$M$7,$K202=$M$7)),"x","")</f>
        <v/>
      </c>
      <c r="N202" s="90" t="str">
        <f>IF(AND($J202=$M$7,$B202&lt;'1111'!$N$10),"x","")</f>
        <v/>
      </c>
      <c r="O202" s="90" t="str">
        <f>IF(AND($K202=$M$7,$B202&lt;'1111'!$N$10),"x","")</f>
        <v/>
      </c>
      <c r="P202" s="90" t="str">
        <f>IF(AND($B202&gt;='1121'!$N$9,$B202&lt;='1121'!$O$9,OR($J202=$P$7,$K202=$P$7)),"x","")</f>
        <v>x</v>
      </c>
      <c r="Q202" s="90" t="str">
        <f>IF(AND($J202=$P$7,$B202&lt;'1121'!$N$9),"x","")</f>
        <v/>
      </c>
      <c r="R202" s="90" t="str">
        <f>IF(AND($K202=$P$7,$B202&lt;'1121'!$N$9),"x","")</f>
        <v/>
      </c>
      <c r="S202" s="90" t="str">
        <f>IF(AND($B202&gt;='1331'!$I$9,$B202&lt;='1331'!$J$9,OR($J202=$S$7,$K202=$S$7)),"x","")</f>
        <v/>
      </c>
      <c r="T202" s="90" t="str">
        <f>IF(AND($J202=$S$7,$B202&lt;'1331'!$I$9),"x","")</f>
        <v/>
      </c>
      <c r="U202" s="90" t="str">
        <f>IF(AND($K202=$S$7,$B202&lt;'1331'!$I$9),"x","")</f>
        <v/>
      </c>
      <c r="V202" s="90" t="str">
        <f>IF(AND('3411-CT'!$E$9=TH!H202,OR(TH!J202=TH!$V$7,K202=TH!$V$7)),"x","")</f>
        <v/>
      </c>
      <c r="W202" s="90" t="str">
        <f>IF(OR(TH!J202=TH!$W$7,K202=TH!$W$7),"x","")</f>
        <v/>
      </c>
      <c r="X202" s="90" t="str">
        <f t="shared" si="7"/>
        <v>4</v>
      </c>
    </row>
    <row r="203" spans="1:24" ht="15.75" customHeight="1">
      <c r="A203" s="158" t="str">
        <f>IF(B203&lt;&gt;"",IF(AND(B203&gt;=_TM1,B203&lt;=_TM2,OR(TH!J203="1111",TH!K203="1111")),TH!D203,""),"")</f>
        <v/>
      </c>
      <c r="B203" s="63">
        <f t="shared" si="6"/>
        <v>12</v>
      </c>
      <c r="C203" s="64">
        <v>41993</v>
      </c>
      <c r="D203" s="64" t="s">
        <v>8</v>
      </c>
      <c r="E203" s="64">
        <v>41993</v>
      </c>
      <c r="F203" s="67" t="s">
        <v>83</v>
      </c>
      <c r="G203" s="439"/>
      <c r="H203" s="7" t="s">
        <v>169</v>
      </c>
      <c r="I203" s="65">
        <v>25788519</v>
      </c>
      <c r="J203" s="66" t="s">
        <v>138</v>
      </c>
      <c r="K203" s="66" t="s">
        <v>34</v>
      </c>
      <c r="L203" s="90" t="str">
        <f>IF(AND('331-CT'!$E$7=TH!H203,OR(J203="331",K203="331")),"x","")</f>
        <v/>
      </c>
      <c r="M203" s="90" t="str">
        <f>IF(AND($B203&gt;='1111'!$N$10,$B203&lt;='1111'!$O$10,OR($J203=$M$7,$K203=$M$7)),"x","")</f>
        <v/>
      </c>
      <c r="N203" s="90" t="str">
        <f>IF(AND($J203=$M$7,$B203&lt;'1111'!$N$10),"x","")</f>
        <v/>
      </c>
      <c r="O203" s="90" t="str">
        <f>IF(AND($K203=$M$7,$B203&lt;'1111'!$N$10),"x","")</f>
        <v/>
      </c>
      <c r="P203" s="90" t="str">
        <f>IF(AND($B203&gt;='1121'!$N$9,$B203&lt;='1121'!$O$9,OR($J203=$P$7,$K203=$P$7)),"x","")</f>
        <v>x</v>
      </c>
      <c r="Q203" s="90" t="str">
        <f>IF(AND($J203=$P$7,$B203&lt;'1121'!$N$9),"x","")</f>
        <v/>
      </c>
      <c r="R203" s="90" t="str">
        <f>IF(AND($K203=$P$7,$B203&lt;'1121'!$N$9),"x","")</f>
        <v/>
      </c>
      <c r="S203" s="90" t="str">
        <f>IF(AND($B203&gt;='1331'!$I$9,$B203&lt;='1331'!$J$9,OR($J203=$S$7,$K203=$S$7)),"x","")</f>
        <v/>
      </c>
      <c r="T203" s="90" t="str">
        <f>IF(AND($J203=$S$7,$B203&lt;'1331'!$I$9),"x","")</f>
        <v/>
      </c>
      <c r="U203" s="90" t="str">
        <f>IF(AND($K203=$S$7,$B203&lt;'1331'!$I$9),"x","")</f>
        <v/>
      </c>
      <c r="V203" s="90" t="str">
        <f>IF(AND('3411-CT'!$E$9=TH!H203,OR(TH!J203=TH!$V$7,K203=TH!$V$7)),"x","")</f>
        <v/>
      </c>
      <c r="W203" s="90" t="str">
        <f>IF(OR(TH!J203=TH!$W$7,K203=TH!$W$7),"x","")</f>
        <v/>
      </c>
      <c r="X203" s="90" t="str">
        <f t="shared" si="7"/>
        <v>4</v>
      </c>
    </row>
    <row r="204" spans="1:24" ht="15.75" customHeight="1">
      <c r="A204" s="158" t="str">
        <f>IF(B204&lt;&gt;"",IF(AND(B204&gt;=_TM1,B204&lt;=_TM2,OR(TH!J204="1111",TH!K204="1111")),TH!D204,""),"")</f>
        <v>C04</v>
      </c>
      <c r="B204" s="63">
        <f t="shared" si="6"/>
        <v>12</v>
      </c>
      <c r="C204" s="64">
        <v>41993</v>
      </c>
      <c r="D204" s="64" t="s">
        <v>44</v>
      </c>
      <c r="E204" s="64">
        <v>41993</v>
      </c>
      <c r="F204" s="67" t="s">
        <v>191</v>
      </c>
      <c r="G204" s="439"/>
      <c r="H204" s="79" t="s">
        <v>165</v>
      </c>
      <c r="I204" s="65">
        <v>51000000</v>
      </c>
      <c r="J204" s="66" t="s">
        <v>34</v>
      </c>
      <c r="K204" s="66" t="s">
        <v>101</v>
      </c>
      <c r="L204" s="90" t="str">
        <f>IF(AND('331-CT'!$E$7=TH!H204,OR(J204="331",K204="331")),"x","")</f>
        <v/>
      </c>
      <c r="M204" s="90" t="str">
        <f>IF(AND($B204&gt;='1111'!$N$10,$B204&lt;='1111'!$O$10,OR($J204=$M$7,$K204=$M$7)),"x","")</f>
        <v/>
      </c>
      <c r="N204" s="90" t="str">
        <f>IF(AND($J204=$M$7,$B204&lt;'1111'!$N$10),"x","")</f>
        <v/>
      </c>
      <c r="O204" s="90" t="str">
        <f>IF(AND($K204=$M$7,$B204&lt;'1111'!$N$10),"x","")</f>
        <v/>
      </c>
      <c r="P204" s="90" t="str">
        <f>IF(AND($B204&gt;='1121'!$N$9,$B204&lt;='1121'!$O$9,OR($J204=$P$7,$K204=$P$7)),"x","")</f>
        <v>x</v>
      </c>
      <c r="Q204" s="90" t="str">
        <f>IF(AND($J204=$P$7,$B204&lt;'1121'!$N$9),"x","")</f>
        <v/>
      </c>
      <c r="R204" s="90" t="str">
        <f>IF(AND($K204=$P$7,$B204&lt;'1121'!$N$9),"x","")</f>
        <v/>
      </c>
      <c r="S204" s="90" t="str">
        <f>IF(AND($B204&gt;='1331'!$I$9,$B204&lt;='1331'!$J$9,OR($J204=$S$7,$K204=$S$7)),"x","")</f>
        <v/>
      </c>
      <c r="T204" s="90" t="str">
        <f>IF(AND($J204=$S$7,$B204&lt;'1331'!$I$9),"x","")</f>
        <v/>
      </c>
      <c r="U204" s="90" t="str">
        <f>IF(AND($K204=$S$7,$B204&lt;'1331'!$I$9),"x","")</f>
        <v/>
      </c>
      <c r="V204" s="90" t="str">
        <f>IF(AND('3411-CT'!$E$9=TH!H204,OR(TH!J204=TH!$V$7,K204=TH!$V$7)),"x","")</f>
        <v/>
      </c>
      <c r="W204" s="90" t="str">
        <f>IF(OR(TH!J204=TH!$W$7,K204=TH!$W$7),"x","")</f>
        <v/>
      </c>
      <c r="X204" s="90" t="str">
        <f t="shared" si="7"/>
        <v>4</v>
      </c>
    </row>
    <row r="205" spans="1:24" ht="15.75" customHeight="1">
      <c r="A205" s="158" t="str">
        <f>IF(B205&lt;&gt;"",IF(AND(B205&gt;=_TM1,B205&lt;=_TM2,OR(TH!J205="1111",TH!K205="1111")),TH!D205,""),"")</f>
        <v/>
      </c>
      <c r="B205" s="63">
        <f t="shared" si="6"/>
        <v>12</v>
      </c>
      <c r="C205" s="64">
        <v>41996</v>
      </c>
      <c r="D205" s="64" t="s">
        <v>8</v>
      </c>
      <c r="E205" s="64">
        <v>41996</v>
      </c>
      <c r="F205" s="67" t="s">
        <v>29</v>
      </c>
      <c r="G205" s="439"/>
      <c r="H205" s="79"/>
      <c r="I205" s="65">
        <v>50000</v>
      </c>
      <c r="J205" s="66" t="s">
        <v>140</v>
      </c>
      <c r="K205" s="66" t="s">
        <v>34</v>
      </c>
      <c r="L205" s="90" t="str">
        <f>IF(AND('331-CT'!$E$7=TH!H205,OR(J205="331",K205="331")),"x","")</f>
        <v/>
      </c>
      <c r="M205" s="90" t="str">
        <f>IF(AND($B205&gt;='1111'!$N$10,$B205&lt;='1111'!$O$10,OR($J205=$M$7,$K205=$M$7)),"x","")</f>
        <v/>
      </c>
      <c r="N205" s="90" t="str">
        <f>IF(AND($J205=$M$7,$B205&lt;'1111'!$N$10),"x","")</f>
        <v/>
      </c>
      <c r="O205" s="90" t="str">
        <f>IF(AND($K205=$M$7,$B205&lt;'1111'!$N$10),"x","")</f>
        <v/>
      </c>
      <c r="P205" s="90" t="str">
        <f>IF(AND($B205&gt;='1121'!$N$9,$B205&lt;='1121'!$O$9,OR($J205=$P$7,$K205=$P$7)),"x","")</f>
        <v>x</v>
      </c>
      <c r="Q205" s="90" t="str">
        <f>IF(AND($J205=$P$7,$B205&lt;'1121'!$N$9),"x","")</f>
        <v/>
      </c>
      <c r="R205" s="90" t="str">
        <f>IF(AND($K205=$P$7,$B205&lt;'1121'!$N$9),"x","")</f>
        <v/>
      </c>
      <c r="S205" s="90" t="str">
        <f>IF(AND($B205&gt;='1331'!$I$9,$B205&lt;='1331'!$J$9,OR($J205=$S$7,$K205=$S$7)),"x","")</f>
        <v/>
      </c>
      <c r="T205" s="90" t="str">
        <f>IF(AND($J205=$S$7,$B205&lt;'1331'!$I$9),"x","")</f>
        <v/>
      </c>
      <c r="U205" s="90" t="str">
        <f>IF(AND($K205=$S$7,$B205&lt;'1331'!$I$9),"x","")</f>
        <v/>
      </c>
      <c r="V205" s="90" t="str">
        <f>IF(AND('3411-CT'!$E$9=TH!H205,OR(TH!J205=TH!$V$7,K205=TH!$V$7)),"x","")</f>
        <v/>
      </c>
      <c r="W205" s="90" t="str">
        <f>IF(OR(TH!J205=TH!$W$7,K205=TH!$W$7),"x","")</f>
        <v/>
      </c>
      <c r="X205" s="90" t="str">
        <f t="shared" si="7"/>
        <v>4</v>
      </c>
    </row>
    <row r="206" spans="1:24" ht="15.75" customHeight="1">
      <c r="A206" s="158" t="str">
        <f>IF(B206&lt;&gt;"",IF(AND(B206&gt;=_TM1,B206&lt;=_TM2,OR(TH!J206="1111",TH!K206="1111")),TH!D206,""),"")</f>
        <v/>
      </c>
      <c r="B206" s="63">
        <f t="shared" si="6"/>
        <v>12</v>
      </c>
      <c r="C206" s="64">
        <v>41996</v>
      </c>
      <c r="D206" s="64" t="s">
        <v>8</v>
      </c>
      <c r="E206" s="64">
        <v>41996</v>
      </c>
      <c r="F206" s="67" t="s">
        <v>26</v>
      </c>
      <c r="G206" s="439"/>
      <c r="H206" s="7"/>
      <c r="I206" s="65">
        <v>5000</v>
      </c>
      <c r="J206" s="66" t="s">
        <v>10</v>
      </c>
      <c r="K206" s="66" t="s">
        <v>34</v>
      </c>
      <c r="L206" s="90" t="str">
        <f>IF(AND('331-CT'!$E$7=TH!H206,OR(J206="331",K206="331")),"x","")</f>
        <v/>
      </c>
      <c r="M206" s="90" t="str">
        <f>IF(AND($B206&gt;='1111'!$N$10,$B206&lt;='1111'!$O$10,OR($J206=$M$7,$K206=$M$7)),"x","")</f>
        <v/>
      </c>
      <c r="N206" s="90" t="str">
        <f>IF(AND($J206=$M$7,$B206&lt;'1111'!$N$10),"x","")</f>
        <v/>
      </c>
      <c r="O206" s="90" t="str">
        <f>IF(AND($K206=$M$7,$B206&lt;'1111'!$N$10),"x","")</f>
        <v/>
      </c>
      <c r="P206" s="90" t="str">
        <f>IF(AND($B206&gt;='1121'!$N$9,$B206&lt;='1121'!$O$9,OR($J206=$P$7,$K206=$P$7)),"x","")</f>
        <v>x</v>
      </c>
      <c r="Q206" s="90" t="str">
        <f>IF(AND($J206=$P$7,$B206&lt;'1121'!$N$9),"x","")</f>
        <v/>
      </c>
      <c r="R206" s="90" t="str">
        <f>IF(AND($K206=$P$7,$B206&lt;'1121'!$N$9),"x","")</f>
        <v/>
      </c>
      <c r="S206" s="90" t="str">
        <f>IF(AND($B206&gt;='1331'!$I$9,$B206&lt;='1331'!$J$9,OR($J206=$S$7,$K206=$S$7)),"x","")</f>
        <v/>
      </c>
      <c r="T206" s="90" t="str">
        <f>IF(AND($J206=$S$7,$B206&lt;'1331'!$I$9),"x","")</f>
        <v/>
      </c>
      <c r="U206" s="90" t="str">
        <f>IF(AND($K206=$S$7,$B206&lt;'1331'!$I$9),"x","")</f>
        <v/>
      </c>
      <c r="V206" s="90" t="str">
        <f>IF(AND('3411-CT'!$E$9=TH!H206,OR(TH!J206=TH!$V$7,K206=TH!$V$7)),"x","")</f>
        <v/>
      </c>
      <c r="W206" s="90" t="str">
        <f>IF(OR(TH!J206=TH!$W$7,K206=TH!$W$7),"x","")</f>
        <v/>
      </c>
      <c r="X206" s="90" t="str">
        <f t="shared" si="7"/>
        <v>4</v>
      </c>
    </row>
    <row r="207" spans="1:24" ht="15.75" customHeight="1">
      <c r="A207" s="158" t="str">
        <f>IF(B207&lt;&gt;"",IF(AND(B207&gt;=_TM1,B207&lt;=_TM2,OR(TH!J207="1111",TH!K207="1111")),TH!D207,""),"")</f>
        <v/>
      </c>
      <c r="B207" s="63">
        <f t="shared" ref="B207:B214" si="8">IF(C207&lt;&gt;"",MONTH(C207),"")</f>
        <v>12</v>
      </c>
      <c r="C207" s="64">
        <v>41996</v>
      </c>
      <c r="D207" s="64" t="s">
        <v>8</v>
      </c>
      <c r="E207" s="64">
        <v>41996</v>
      </c>
      <c r="F207" s="67" t="s">
        <v>305</v>
      </c>
      <c r="G207" s="439"/>
      <c r="H207" s="79"/>
      <c r="I207" s="65">
        <v>50000</v>
      </c>
      <c r="J207" s="66" t="s">
        <v>140</v>
      </c>
      <c r="K207" s="66" t="s">
        <v>34</v>
      </c>
      <c r="L207" s="90" t="str">
        <f>IF(AND('331-CT'!$E$7=TH!H207,OR(J207="331",K207="331")),"x","")</f>
        <v/>
      </c>
      <c r="M207" s="90" t="str">
        <f>IF(AND($B207&gt;='1111'!$N$10,$B207&lt;='1111'!$O$10,OR($J207=$M$7,$K207=$M$7)),"x","")</f>
        <v/>
      </c>
      <c r="N207" s="90" t="str">
        <f>IF(AND($J207=$M$7,$B207&lt;'1111'!$N$10),"x","")</f>
        <v/>
      </c>
      <c r="O207" s="90" t="str">
        <f>IF(AND($K207=$M$7,$B207&lt;'1111'!$N$10),"x","")</f>
        <v/>
      </c>
      <c r="P207" s="90" t="str">
        <f>IF(AND($B207&gt;='1121'!$N$9,$B207&lt;='1121'!$O$9,OR($J207=$P$7,$K207=$P$7)),"x","")</f>
        <v>x</v>
      </c>
      <c r="Q207" s="90" t="str">
        <f>IF(AND($J207=$P$7,$B207&lt;'1121'!$N$9),"x","")</f>
        <v/>
      </c>
      <c r="R207" s="90" t="str">
        <f>IF(AND($K207=$P$7,$B207&lt;'1121'!$N$9),"x","")</f>
        <v/>
      </c>
      <c r="S207" s="90" t="str">
        <f>IF(AND($B207&gt;='1331'!$I$9,$B207&lt;='1331'!$J$9,OR($J207=$S$7,$K207=$S$7)),"x","")</f>
        <v/>
      </c>
      <c r="T207" s="90" t="str">
        <f>IF(AND($J207=$S$7,$B207&lt;'1331'!$I$9),"x","")</f>
        <v/>
      </c>
      <c r="U207" s="90" t="str">
        <f>IF(AND($K207=$S$7,$B207&lt;'1331'!$I$9),"x","")</f>
        <v/>
      </c>
      <c r="V207" s="90" t="str">
        <f>IF(AND('3411-CT'!$E$9=TH!H207,OR(TH!J207=TH!$V$7,K207=TH!$V$7)),"x","")</f>
        <v/>
      </c>
      <c r="W207" s="90" t="str">
        <f>IF(OR(TH!J207=TH!$W$7,K207=TH!$W$7),"x","")</f>
        <v/>
      </c>
      <c r="X207" s="90" t="str">
        <f t="shared" si="7"/>
        <v>4</v>
      </c>
    </row>
    <row r="208" spans="1:24" ht="15.75" customHeight="1">
      <c r="A208" s="158" t="str">
        <f>IF(B208&lt;&gt;"",IF(AND(B208&gt;=_TM1,B208&lt;=_TM2,OR(TH!J208="1111",TH!K208="1111")),TH!D208,""),"")</f>
        <v/>
      </c>
      <c r="B208" s="63">
        <f t="shared" si="8"/>
        <v>12</v>
      </c>
      <c r="C208" s="64">
        <v>41996</v>
      </c>
      <c r="D208" s="64" t="s">
        <v>8</v>
      </c>
      <c r="E208" s="64">
        <v>41996</v>
      </c>
      <c r="F208" s="67" t="s">
        <v>26</v>
      </c>
      <c r="G208" s="439"/>
      <c r="H208" s="79"/>
      <c r="I208" s="65">
        <v>5000</v>
      </c>
      <c r="J208" s="66" t="s">
        <v>10</v>
      </c>
      <c r="K208" s="66" t="s">
        <v>34</v>
      </c>
      <c r="L208" s="90" t="str">
        <f>IF(AND('331-CT'!$E$7=TH!H208,OR(J208="331",K208="331")),"x","")</f>
        <v/>
      </c>
      <c r="M208" s="90" t="str">
        <f>IF(AND($B208&gt;='1111'!$N$10,$B208&lt;='1111'!$O$10,OR($J208=$M$7,$K208=$M$7)),"x","")</f>
        <v/>
      </c>
      <c r="N208" s="90" t="str">
        <f>IF(AND($J208=$M$7,$B208&lt;'1111'!$N$10),"x","")</f>
        <v/>
      </c>
      <c r="O208" s="90" t="str">
        <f>IF(AND($K208=$M$7,$B208&lt;'1111'!$N$10),"x","")</f>
        <v/>
      </c>
      <c r="P208" s="90" t="str">
        <f>IF(AND($B208&gt;='1121'!$N$9,$B208&lt;='1121'!$O$9,OR($J208=$P$7,$K208=$P$7)),"x","")</f>
        <v>x</v>
      </c>
      <c r="Q208" s="90" t="str">
        <f>IF(AND($J208=$P$7,$B208&lt;'1121'!$N$9),"x","")</f>
        <v/>
      </c>
      <c r="R208" s="90" t="str">
        <f>IF(AND($K208=$P$7,$B208&lt;'1121'!$N$9),"x","")</f>
        <v/>
      </c>
      <c r="S208" s="90" t="str">
        <f>IF(AND($B208&gt;='1331'!$I$9,$B208&lt;='1331'!$J$9,OR($J208=$S$7,$K208=$S$7)),"x","")</f>
        <v/>
      </c>
      <c r="T208" s="90" t="str">
        <f>IF(AND($J208=$S$7,$B208&lt;'1331'!$I$9),"x","")</f>
        <v/>
      </c>
      <c r="U208" s="90" t="str">
        <f>IF(AND($K208=$S$7,$B208&lt;'1331'!$I$9),"x","")</f>
        <v/>
      </c>
      <c r="V208" s="90" t="str">
        <f>IF(AND('3411-CT'!$E$9=TH!H208,OR(TH!J208=TH!$V$7,K208=TH!$V$7)),"x","")</f>
        <v/>
      </c>
      <c r="W208" s="90" t="str">
        <f>IF(OR(TH!J208=TH!$W$7,K208=TH!$W$7),"x","")</f>
        <v/>
      </c>
      <c r="X208" s="90" t="str">
        <f t="shared" si="7"/>
        <v>4</v>
      </c>
    </row>
    <row r="209" spans="1:24" ht="15.75" customHeight="1">
      <c r="A209" s="158" t="str">
        <f>IF(B209&lt;&gt;"",IF(AND(B209&gt;=_TM1,B209&lt;=_TM2,OR(TH!J209="1111",TH!K209="1111")),TH!D209,""),"")</f>
        <v/>
      </c>
      <c r="B209" s="63">
        <f t="shared" si="8"/>
        <v>12</v>
      </c>
      <c r="C209" s="64">
        <v>41996</v>
      </c>
      <c r="D209" s="64" t="s">
        <v>8</v>
      </c>
      <c r="E209" s="64">
        <v>41996</v>
      </c>
      <c r="F209" s="67" t="s">
        <v>28</v>
      </c>
      <c r="G209" s="449"/>
      <c r="H209" s="79"/>
      <c r="I209" s="65">
        <v>50000</v>
      </c>
      <c r="J209" s="66" t="s">
        <v>140</v>
      </c>
      <c r="K209" s="66" t="s">
        <v>34</v>
      </c>
      <c r="L209" s="90" t="str">
        <f>IF(AND('331-CT'!$E$7=TH!H209,OR(J209="331",K209="331")),"x","")</f>
        <v/>
      </c>
      <c r="M209" s="90" t="str">
        <f>IF(AND($B209&gt;='1111'!$N$10,$B209&lt;='1111'!$O$10,OR($J209=$M$7,$K209=$M$7)),"x","")</f>
        <v/>
      </c>
      <c r="N209" s="90" t="str">
        <f>IF(AND($J209=$M$7,$B209&lt;'1111'!$N$10),"x","")</f>
        <v/>
      </c>
      <c r="O209" s="90" t="str">
        <f>IF(AND($K209=$M$7,$B209&lt;'1111'!$N$10),"x","")</f>
        <v/>
      </c>
      <c r="P209" s="90" t="str">
        <f>IF(AND($B209&gt;='1121'!$N$9,$B209&lt;='1121'!$O$9,OR($J209=$P$7,$K209=$P$7)),"x","")</f>
        <v>x</v>
      </c>
      <c r="Q209" s="90" t="str">
        <f>IF(AND($J209=$P$7,$B209&lt;'1121'!$N$9),"x","")</f>
        <v/>
      </c>
      <c r="R209" s="90" t="str">
        <f>IF(AND($K209=$P$7,$B209&lt;'1121'!$N$9),"x","")</f>
        <v/>
      </c>
      <c r="S209" s="90" t="str">
        <f>IF(AND($B209&gt;='1331'!$I$9,$B209&lt;='1331'!$J$9,OR($J209=$S$7,$K209=$S$7)),"x","")</f>
        <v/>
      </c>
      <c r="T209" s="90" t="str">
        <f>IF(AND($J209=$S$7,$B209&lt;'1331'!$I$9),"x","")</f>
        <v/>
      </c>
      <c r="U209" s="90" t="str">
        <f>IF(AND($K209=$S$7,$B209&lt;'1331'!$I$9),"x","")</f>
        <v/>
      </c>
      <c r="V209" s="90" t="str">
        <f>IF(AND('3411-CT'!$E$9=TH!H209,OR(TH!J209=TH!$V$7,K209=TH!$V$7)),"x","")</f>
        <v/>
      </c>
      <c r="W209" s="90" t="str">
        <f>IF(OR(TH!J209=TH!$W$7,K209=TH!$W$7),"x","")</f>
        <v/>
      </c>
      <c r="X209" s="90" t="str">
        <f t="shared" si="7"/>
        <v>4</v>
      </c>
    </row>
    <row r="210" spans="1:24" ht="15.75" customHeight="1">
      <c r="A210" s="158" t="str">
        <f>IF(B210&lt;&gt;"",IF(AND(B210&gt;=_TM1,B210&lt;=_TM2,OR(TH!J210="1111",TH!K210="1111")),TH!D210,""),"")</f>
        <v/>
      </c>
      <c r="B210" s="63">
        <f t="shared" si="8"/>
        <v>12</v>
      </c>
      <c r="C210" s="64">
        <v>41996</v>
      </c>
      <c r="D210" s="64" t="s">
        <v>8</v>
      </c>
      <c r="E210" s="64">
        <v>41996</v>
      </c>
      <c r="F210" s="67" t="s">
        <v>26</v>
      </c>
      <c r="G210" s="449"/>
      <c r="H210" s="79"/>
      <c r="I210" s="65">
        <v>5000</v>
      </c>
      <c r="J210" s="66" t="s">
        <v>10</v>
      </c>
      <c r="K210" s="66" t="s">
        <v>34</v>
      </c>
      <c r="L210" s="90" t="str">
        <f>IF(AND('331-CT'!$E$7=TH!H210,OR(J210="331",K210="331")),"x","")</f>
        <v/>
      </c>
      <c r="M210" s="90" t="str">
        <f>IF(AND($B210&gt;='1111'!$N$10,$B210&lt;='1111'!$O$10,OR($J210=$M$7,$K210=$M$7)),"x","")</f>
        <v/>
      </c>
      <c r="N210" s="90" t="str">
        <f>IF(AND($J210=$M$7,$B210&lt;'1111'!$N$10),"x","")</f>
        <v/>
      </c>
      <c r="O210" s="90" t="str">
        <f>IF(AND($K210=$M$7,$B210&lt;'1111'!$N$10),"x","")</f>
        <v/>
      </c>
      <c r="P210" s="90" t="str">
        <f>IF(AND($B210&gt;='1121'!$N$9,$B210&lt;='1121'!$O$9,OR($J210=$P$7,$K210=$P$7)),"x","")</f>
        <v>x</v>
      </c>
      <c r="Q210" s="90" t="str">
        <f>IF(AND($J210=$P$7,$B210&lt;'1121'!$N$9),"x","")</f>
        <v/>
      </c>
      <c r="R210" s="90" t="str">
        <f>IF(AND($K210=$P$7,$B210&lt;'1121'!$N$9),"x","")</f>
        <v/>
      </c>
      <c r="S210" s="90" t="str">
        <f>IF(AND($B210&gt;='1331'!$I$9,$B210&lt;='1331'!$J$9,OR($J210=$S$7,$K210=$S$7)),"x","")</f>
        <v/>
      </c>
      <c r="T210" s="90" t="str">
        <f>IF(AND($J210=$S$7,$B210&lt;'1331'!$I$9),"x","")</f>
        <v/>
      </c>
      <c r="U210" s="90" t="str">
        <f>IF(AND($K210=$S$7,$B210&lt;'1331'!$I$9),"x","")</f>
        <v/>
      </c>
      <c r="V210" s="90" t="str">
        <f>IF(AND('3411-CT'!$E$9=TH!H210,OR(TH!J210=TH!$V$7,K210=TH!$V$7)),"x","")</f>
        <v/>
      </c>
      <c r="W210" s="90" t="str">
        <f>IF(OR(TH!J210=TH!$W$7,K210=TH!$W$7),"x","")</f>
        <v/>
      </c>
      <c r="X210" s="90" t="str">
        <f t="shared" ref="X210:X223" si="9">IF(AND(1&lt;=$B210,$B210&lt;=3),"1",IF(AND(4&lt;=$B210,$B210&lt;=6),"2",IF(AND(7&lt;=$B210,$B210&lt;=9),"3",IF(AND(10&lt;=$B210,$B210&lt;=12),"4",""))))</f>
        <v>4</v>
      </c>
    </row>
    <row r="211" spans="1:24" ht="15.75" customHeight="1">
      <c r="A211" s="158" t="str">
        <f>IF(B211&lt;&gt;"",IF(AND(B211&gt;=_TM1,B211&lt;=_TM2,OR(TH!J211="1111",TH!K211="1111")),TH!D211,""),"")</f>
        <v/>
      </c>
      <c r="B211" s="63">
        <f t="shared" si="8"/>
        <v>12</v>
      </c>
      <c r="C211" s="64">
        <v>41998</v>
      </c>
      <c r="D211" s="64" t="s">
        <v>11</v>
      </c>
      <c r="E211" s="64">
        <v>41998</v>
      </c>
      <c r="F211" s="67" t="s">
        <v>66</v>
      </c>
      <c r="G211" s="449"/>
      <c r="H211" s="79"/>
      <c r="I211" s="65">
        <v>125079</v>
      </c>
      <c r="J211" s="66" t="s">
        <v>34</v>
      </c>
      <c r="K211" s="66" t="s">
        <v>67</v>
      </c>
      <c r="L211" s="90" t="str">
        <f>IF(AND('331-CT'!$E$7=TH!H211,OR(J211="331",K211="331")),"x","")</f>
        <v/>
      </c>
      <c r="M211" s="90" t="str">
        <f>IF(AND($B211&gt;='1111'!$N$10,$B211&lt;='1111'!$O$10,OR($J211=$M$7,$K211=$M$7)),"x","")</f>
        <v/>
      </c>
      <c r="N211" s="90" t="str">
        <f>IF(AND($J211=$M$7,$B211&lt;'1111'!$N$10),"x","")</f>
        <v/>
      </c>
      <c r="O211" s="90" t="str">
        <f>IF(AND($K211=$M$7,$B211&lt;'1111'!$N$10),"x","")</f>
        <v/>
      </c>
      <c r="P211" s="90" t="str">
        <f>IF(AND($B211&gt;='1121'!$N$9,$B211&lt;='1121'!$O$9,OR($J211=$P$7,$K211=$P$7)),"x","")</f>
        <v>x</v>
      </c>
      <c r="Q211" s="90" t="str">
        <f>IF(AND($J211=$P$7,$B211&lt;'1121'!$N$9),"x","")</f>
        <v/>
      </c>
      <c r="R211" s="90" t="str">
        <f>IF(AND($K211=$P$7,$B211&lt;'1121'!$N$9),"x","")</f>
        <v/>
      </c>
      <c r="S211" s="90" t="str">
        <f>IF(AND($B211&gt;='1331'!$I$9,$B211&lt;='1331'!$J$9,OR($J211=$S$7,$K211=$S$7)),"x","")</f>
        <v/>
      </c>
      <c r="T211" s="90" t="str">
        <f>IF(AND($J211=$S$7,$B211&lt;'1331'!$I$9),"x","")</f>
        <v/>
      </c>
      <c r="U211" s="90" t="str">
        <f>IF(AND($K211=$S$7,$B211&lt;'1331'!$I$9),"x","")</f>
        <v/>
      </c>
      <c r="V211" s="90" t="str">
        <f>IF(AND('3411-CT'!$E$9=TH!H211,OR(TH!J211=TH!$V$7,K211=TH!$V$7)),"x","")</f>
        <v/>
      </c>
      <c r="W211" s="90" t="str">
        <f>IF(OR(TH!J211=TH!$W$7,K211=TH!$W$7),"x","")</f>
        <v/>
      </c>
      <c r="X211" s="90" t="str">
        <f t="shared" si="9"/>
        <v>4</v>
      </c>
    </row>
    <row r="212" spans="1:24" ht="15.75" customHeight="1">
      <c r="A212" s="158" t="str">
        <f>IF(B212&lt;&gt;"",IF(AND(B212&gt;=_TM1,B212&lt;=_TM2,OR(TH!J212="1111",TH!K212="1111")),TH!D212,""),"")</f>
        <v>C05</v>
      </c>
      <c r="B212" s="63">
        <f t="shared" si="8"/>
        <v>12</v>
      </c>
      <c r="C212" s="64">
        <v>42003</v>
      </c>
      <c r="D212" s="64" t="s">
        <v>43</v>
      </c>
      <c r="E212" s="64">
        <v>42003</v>
      </c>
      <c r="F212" s="67" t="s">
        <v>191</v>
      </c>
      <c r="G212" s="449"/>
      <c r="H212" s="79" t="s">
        <v>165</v>
      </c>
      <c r="I212" s="65">
        <v>1000000</v>
      </c>
      <c r="J212" s="66" t="s">
        <v>34</v>
      </c>
      <c r="K212" s="66" t="s">
        <v>101</v>
      </c>
      <c r="L212" s="90" t="str">
        <f>IF(AND('331-CT'!$E$7=TH!H212,OR(J212="331",K212="331")),"x","")</f>
        <v/>
      </c>
      <c r="M212" s="90" t="str">
        <f>IF(AND($B212&gt;='1111'!$N$10,$B212&lt;='1111'!$O$10,OR($J212=$M$7,$K212=$M$7)),"x","")</f>
        <v/>
      </c>
      <c r="N212" s="90" t="str">
        <f>IF(AND($J212=$M$7,$B212&lt;'1111'!$N$10),"x","")</f>
        <v/>
      </c>
      <c r="O212" s="90" t="str">
        <f>IF(AND($K212=$M$7,$B212&lt;'1111'!$N$10),"x","")</f>
        <v/>
      </c>
      <c r="P212" s="90" t="str">
        <f>IF(AND($B212&gt;='1121'!$N$9,$B212&lt;='1121'!$O$9,OR($J212=$P$7,$K212=$P$7)),"x","")</f>
        <v>x</v>
      </c>
      <c r="Q212" s="90" t="str">
        <f>IF(AND($J212=$P$7,$B212&lt;'1121'!$N$9),"x","")</f>
        <v/>
      </c>
      <c r="R212" s="90" t="str">
        <f>IF(AND($K212=$P$7,$B212&lt;'1121'!$N$9),"x","")</f>
        <v/>
      </c>
      <c r="S212" s="90" t="str">
        <f>IF(AND($B212&gt;='1331'!$I$9,$B212&lt;='1331'!$J$9,OR($J212=$S$7,$K212=$S$7)),"x","")</f>
        <v/>
      </c>
      <c r="T212" s="90" t="str">
        <f>IF(AND($J212=$S$7,$B212&lt;'1331'!$I$9),"x","")</f>
        <v/>
      </c>
      <c r="U212" s="90" t="str">
        <f>IF(AND($K212=$S$7,$B212&lt;'1331'!$I$9),"x","")</f>
        <v/>
      </c>
      <c r="V212" s="90" t="str">
        <f>IF(AND('3411-CT'!$E$9=TH!H212,OR(TH!J212=TH!$V$7,K212=TH!$V$7)),"x","")</f>
        <v/>
      </c>
      <c r="W212" s="90" t="str">
        <f>IF(OR(TH!J212=TH!$W$7,K212=TH!$W$7),"x","")</f>
        <v/>
      </c>
      <c r="X212" s="90" t="str">
        <f t="shared" si="9"/>
        <v>4</v>
      </c>
    </row>
    <row r="213" spans="1:24" ht="15.75" customHeight="1">
      <c r="A213" s="158" t="str">
        <f>IF(B213&lt;&gt;"",IF(AND(B213&gt;=_TM1,B213&lt;=_TM2,OR(TH!J213="1111",TH!K213="1111")),TH!D213,""),"")</f>
        <v/>
      </c>
      <c r="B213" s="63">
        <f t="shared" si="8"/>
        <v>12</v>
      </c>
      <c r="C213" s="64">
        <v>42004</v>
      </c>
      <c r="D213" s="64" t="s">
        <v>8</v>
      </c>
      <c r="E213" s="64">
        <v>42004</v>
      </c>
      <c r="F213" s="67" t="s">
        <v>21</v>
      </c>
      <c r="G213" s="453"/>
      <c r="H213" s="7"/>
      <c r="I213" s="65">
        <v>500000</v>
      </c>
      <c r="J213" s="66" t="s">
        <v>140</v>
      </c>
      <c r="K213" s="66" t="s">
        <v>34</v>
      </c>
      <c r="L213" s="90" t="str">
        <f>IF(AND('331-CT'!$E$7=TH!H213,OR(J213="331",K213="331")),"x","")</f>
        <v/>
      </c>
      <c r="M213" s="90" t="str">
        <f>IF(AND($B213&gt;='1111'!$N$10,$B213&lt;='1111'!$O$10,OR($J213=$M$7,$K213=$M$7)),"x","")</f>
        <v/>
      </c>
      <c r="N213" s="90" t="str">
        <f>IF(AND($J213=$M$7,$B213&lt;'1111'!$N$10),"x","")</f>
        <v/>
      </c>
      <c r="O213" s="90" t="str">
        <f>IF(AND($K213=$M$7,$B213&lt;'1111'!$N$10),"x","")</f>
        <v/>
      </c>
      <c r="P213" s="90" t="str">
        <f>IF(AND($B213&gt;='1121'!$N$9,$B213&lt;='1121'!$O$9,OR($J213=$P$7,$K213=$P$7)),"x","")</f>
        <v>x</v>
      </c>
      <c r="Q213" s="90" t="str">
        <f>IF(AND($J213=$P$7,$B213&lt;'1121'!$N$9),"x","")</f>
        <v/>
      </c>
      <c r="R213" s="90" t="str">
        <f>IF(AND($K213=$P$7,$B213&lt;'1121'!$N$9),"x","")</f>
        <v/>
      </c>
      <c r="S213" s="90" t="str">
        <f>IF(AND($B213&gt;='1331'!$I$9,$B213&lt;='1331'!$J$9,OR($J213=$S$7,$K213=$S$7)),"x","")</f>
        <v/>
      </c>
      <c r="T213" s="90" t="str">
        <f>IF(AND($J213=$S$7,$B213&lt;'1331'!$I$9),"x","")</f>
        <v/>
      </c>
      <c r="U213" s="90" t="str">
        <f>IF(AND($K213=$S$7,$B213&lt;'1331'!$I$9),"x","")</f>
        <v/>
      </c>
      <c r="V213" s="90" t="str">
        <f>IF(AND('3411-CT'!$E$9=TH!H213,OR(TH!J213=TH!$V$7,K213=TH!$V$7)),"x","")</f>
        <v/>
      </c>
      <c r="W213" s="90" t="str">
        <f>IF(OR(TH!J213=TH!$W$7,K213=TH!$W$7),"x","")</f>
        <v/>
      </c>
      <c r="X213" s="90" t="str">
        <f t="shared" si="9"/>
        <v>4</v>
      </c>
    </row>
    <row r="214" spans="1:24" s="468" customFormat="1" ht="15.75" customHeight="1">
      <c r="A214" s="461" t="str">
        <f>IF(B214&lt;&gt;"",IF(AND(B214&gt;=_TM1,B214&lt;=_TM2,OR(TH!J214="1111",TH!K214="1111")),TH!D214,""),"")</f>
        <v/>
      </c>
      <c r="B214" s="462">
        <f t="shared" si="8"/>
        <v>12</v>
      </c>
      <c r="C214" s="463">
        <v>42004</v>
      </c>
      <c r="D214" s="463" t="s">
        <v>8</v>
      </c>
      <c r="E214" s="463">
        <v>42004</v>
      </c>
      <c r="F214" s="464" t="s">
        <v>22</v>
      </c>
      <c r="G214" s="465"/>
      <c r="H214" s="466"/>
      <c r="I214" s="467">
        <v>50000</v>
      </c>
      <c r="J214" s="92" t="s">
        <v>10</v>
      </c>
      <c r="K214" s="92" t="s">
        <v>34</v>
      </c>
      <c r="L214" s="92" t="str">
        <f>IF(AND('331-CT'!$E$7=TH!H214,OR(J214="331",K214="331")),"x","")</f>
        <v/>
      </c>
      <c r="M214" s="92" t="str">
        <f>IF(AND($B214&gt;='1111'!$N$10,$B214&lt;='1111'!$O$10,OR($J214=$M$7,$K214=$M$7)),"x","")</f>
        <v/>
      </c>
      <c r="N214" s="92" t="str">
        <f>IF(AND($J214=$M$7,$B214&lt;'1111'!$N$10),"x","")</f>
        <v/>
      </c>
      <c r="O214" s="92" t="str">
        <f>IF(AND($K214=$M$7,$B214&lt;'1111'!$N$10),"x","")</f>
        <v/>
      </c>
      <c r="P214" s="92" t="str">
        <f>IF(AND($B214&gt;='1121'!$N$9,$B214&lt;='1121'!$O$9,OR($J214=$P$7,$K214=$P$7)),"x","")</f>
        <v>x</v>
      </c>
      <c r="Q214" s="92" t="str">
        <f>IF(AND($J214=$P$7,$B214&lt;'1121'!$N$9),"x","")</f>
        <v/>
      </c>
      <c r="R214" s="92" t="str">
        <f>IF(AND($K214=$P$7,$B214&lt;'1121'!$N$9),"x","")</f>
        <v/>
      </c>
      <c r="S214" s="92" t="str">
        <f>IF(AND($B214&gt;='1331'!$I$9,$B214&lt;='1331'!$J$9,OR($J214=$S$7,$K214=$S$7)),"x","")</f>
        <v/>
      </c>
      <c r="T214" s="92" t="str">
        <f>IF(AND($J214=$S$7,$B214&lt;'1331'!$I$9),"x","")</f>
        <v/>
      </c>
      <c r="U214" s="92" t="str">
        <f>IF(AND($K214=$S$7,$B214&lt;'1331'!$I$9),"x","")</f>
        <v/>
      </c>
      <c r="V214" s="92" t="str">
        <f>IF(AND('3411-CT'!$E$9=TH!H214,OR(TH!J214=TH!$V$7,K214=TH!$V$7)),"x","")</f>
        <v/>
      </c>
      <c r="W214" s="92" t="str">
        <f>IF(OR(TH!J214=TH!$W$7,K214=TH!$W$7),"x","")</f>
        <v/>
      </c>
      <c r="X214" s="92" t="str">
        <f t="shared" si="9"/>
        <v>4</v>
      </c>
    </row>
    <row r="215" spans="1:24" ht="15.75" customHeight="1">
      <c r="A215" s="158" t="str">
        <f>IF(B215&lt;&gt;"",IF(AND(B215&gt;=_TM1,B215&lt;=_TM2,OR(TH!J215="1111",TH!K215="1111")),TH!D215,""),"")</f>
        <v/>
      </c>
      <c r="B215" s="63" t="str">
        <f t="shared" ref="B215:B234" si="10">IF(C215&lt;&gt;"",MONTH(C215),"")</f>
        <v/>
      </c>
      <c r="C215" s="64"/>
      <c r="D215" s="64"/>
      <c r="E215" s="64"/>
      <c r="F215" s="67"/>
      <c r="G215" s="439"/>
      <c r="H215" s="79"/>
      <c r="I215" s="65"/>
      <c r="J215" s="66"/>
      <c r="K215" s="66"/>
      <c r="L215" s="90" t="str">
        <f>IF(AND('331-CT'!$E$7=TH!H215,OR(J215="331",K215="331")),"x","")</f>
        <v/>
      </c>
      <c r="M215" s="90" t="str">
        <f>IF(AND($B215&gt;='1111'!$N$10,$B215&lt;='1111'!$O$10,OR($J215=$M$7,$K215=$M$7)),"x","")</f>
        <v/>
      </c>
      <c r="N215" s="90" t="str">
        <f>IF(AND($J215=$M$7,$B215&lt;'1111'!$N$10),"x","")</f>
        <v/>
      </c>
      <c r="O215" s="90" t="str">
        <f>IF(AND($K215=$M$7,$B215&lt;'1111'!$N$10),"x","")</f>
        <v/>
      </c>
      <c r="P215" s="90" t="str">
        <f>IF(AND($B215&gt;='1121'!$N$9,$B215&lt;='1121'!$O$9,OR($J215=$P$7,$K215=$P$7)),"x","")</f>
        <v/>
      </c>
      <c r="Q215" s="90" t="str">
        <f>IF(AND($J215=$P$7,$B215&lt;'1121'!$N$9),"x","")</f>
        <v/>
      </c>
      <c r="R215" s="90" t="str">
        <f>IF(AND($K215=$P$7,$B215&lt;'1121'!$N$9),"x","")</f>
        <v/>
      </c>
      <c r="S215" s="90" t="str">
        <f>IF(AND($B215&gt;='1331'!$I$9,$B215&lt;='1331'!$J$9,OR($J215=$S$7,$K215=$S$7)),"x","")</f>
        <v/>
      </c>
      <c r="T215" s="90" t="str">
        <f>IF(AND($J215=$S$7,$B215&lt;'1331'!$I$9),"x","")</f>
        <v/>
      </c>
      <c r="U215" s="90" t="str">
        <f>IF(AND($K215=$S$7,$B215&lt;'1331'!$I$9),"x","")</f>
        <v/>
      </c>
      <c r="V215" s="90" t="str">
        <f>IF(AND('3411-CT'!$E$9=TH!H215,OR(TH!J215=TH!$V$7,K215=TH!$V$7)),"x","")</f>
        <v/>
      </c>
      <c r="W215" s="90" t="str">
        <f>IF(OR(TH!J215=TH!$W$7,K215=TH!$W$7),"x","")</f>
        <v/>
      </c>
      <c r="X215" s="90" t="str">
        <f t="shared" si="9"/>
        <v/>
      </c>
    </row>
    <row r="216" spans="1:24" ht="15.75" customHeight="1">
      <c r="A216" s="158" t="str">
        <f>IF(B216&lt;&gt;"",IF(AND(B216&gt;=_TM1,B216&lt;=_TM2,OR(TH!J216="1111",TH!K216="1111")),TH!D216,""),"")</f>
        <v/>
      </c>
      <c r="B216" s="63" t="str">
        <f t="shared" si="10"/>
        <v/>
      </c>
      <c r="C216" s="64"/>
      <c r="D216" s="64"/>
      <c r="E216" s="64"/>
      <c r="F216" s="67"/>
      <c r="G216" s="439"/>
      <c r="H216" s="79"/>
      <c r="I216" s="65"/>
      <c r="J216" s="66"/>
      <c r="K216" s="66"/>
      <c r="L216" s="90" t="str">
        <f>IF(AND('331-CT'!$E$7=TH!H216,OR(J216="331",K216="331")),"x","")</f>
        <v/>
      </c>
      <c r="M216" s="90" t="str">
        <f>IF(AND($B216&gt;='1111'!$N$10,$B216&lt;='1111'!$O$10,OR($J216=$M$7,$K216=$M$7)),"x","")</f>
        <v/>
      </c>
      <c r="N216" s="90" t="str">
        <f>IF(AND($J216=$M$7,$B216&lt;'1111'!$N$10),"x","")</f>
        <v/>
      </c>
      <c r="O216" s="90" t="str">
        <f>IF(AND($K216=$M$7,$B216&lt;'1111'!$N$10),"x","")</f>
        <v/>
      </c>
      <c r="P216" s="90" t="str">
        <f>IF(AND($B216&gt;='1121'!$N$9,$B216&lt;='1121'!$O$9,OR($J216=$P$7,$K216=$P$7)),"x","")</f>
        <v/>
      </c>
      <c r="Q216" s="90" t="str">
        <f>IF(AND($J216=$P$7,$B216&lt;'1121'!$N$9),"x","")</f>
        <v/>
      </c>
      <c r="R216" s="90" t="str">
        <f>IF(AND($K216=$P$7,$B216&lt;'1121'!$N$9),"x","")</f>
        <v/>
      </c>
      <c r="S216" s="90" t="str">
        <f>IF(AND($B216&gt;='1331'!$I$9,$B216&lt;='1331'!$J$9,OR($J216=$S$7,$K216=$S$7)),"x","")</f>
        <v/>
      </c>
      <c r="T216" s="90" t="str">
        <f>IF(AND($J216=$S$7,$B216&lt;'1331'!$I$9),"x","")</f>
        <v/>
      </c>
      <c r="U216" s="90" t="str">
        <f>IF(AND($K216=$S$7,$B216&lt;'1331'!$I$9),"x","")</f>
        <v/>
      </c>
      <c r="V216" s="90" t="str">
        <f>IF(AND('3411-CT'!$E$9=TH!H216,OR(TH!J216=TH!$V$7,K216=TH!$V$7)),"x","")</f>
        <v/>
      </c>
      <c r="W216" s="90" t="str">
        <f>IF(OR(TH!J216=TH!$W$7,K216=TH!$W$7),"x","")</f>
        <v/>
      </c>
      <c r="X216" s="90" t="str">
        <f t="shared" si="9"/>
        <v/>
      </c>
    </row>
    <row r="217" spans="1:24" ht="15.75" customHeight="1">
      <c r="A217" s="158" t="str">
        <f>IF(B217&lt;&gt;"",IF(AND(B217&gt;=_TM1,B217&lt;=_TM2,OR(TH!J217="1111",TH!K217="1111")),TH!D217,""),"")</f>
        <v/>
      </c>
      <c r="B217" s="63" t="str">
        <f t="shared" si="10"/>
        <v/>
      </c>
      <c r="C217" s="64"/>
      <c r="D217" s="64"/>
      <c r="E217" s="64"/>
      <c r="F217" s="67"/>
      <c r="G217" s="439"/>
      <c r="H217" s="79"/>
      <c r="I217" s="65"/>
      <c r="J217" s="66"/>
      <c r="K217" s="66"/>
      <c r="L217" s="90" t="str">
        <f>IF(AND('331-CT'!$E$7=TH!H217,OR(J217="331",K217="331")),"x","")</f>
        <v/>
      </c>
      <c r="M217" s="90" t="str">
        <f>IF(AND($B217&gt;='1111'!$N$10,$B217&lt;='1111'!$O$10,OR($J217=$M$7,$K217=$M$7)),"x","")</f>
        <v/>
      </c>
      <c r="N217" s="90" t="str">
        <f>IF(AND($J217=$M$7,$B217&lt;'1111'!$N$10),"x","")</f>
        <v/>
      </c>
      <c r="O217" s="90" t="str">
        <f>IF(AND($K217=$M$7,$B217&lt;'1111'!$N$10),"x","")</f>
        <v/>
      </c>
      <c r="P217" s="90" t="str">
        <f>IF(AND($B217&gt;='1121'!$N$9,$B217&lt;='1121'!$O$9,OR($J217=$P$7,$K217=$P$7)),"x","")</f>
        <v/>
      </c>
      <c r="Q217" s="90" t="str">
        <f>IF(AND($J217=$P$7,$B217&lt;'1121'!$N$9),"x","")</f>
        <v/>
      </c>
      <c r="R217" s="90" t="str">
        <f>IF(AND($K217=$P$7,$B217&lt;'1121'!$N$9),"x","")</f>
        <v/>
      </c>
      <c r="S217" s="90" t="str">
        <f>IF(AND($B217&gt;='1331'!$I$9,$B217&lt;='1331'!$J$9,OR($J217=$S$7,$K217=$S$7)),"x","")</f>
        <v/>
      </c>
      <c r="T217" s="90" t="str">
        <f>IF(AND($J217=$S$7,$B217&lt;'1331'!$I$9),"x","")</f>
        <v/>
      </c>
      <c r="U217" s="90" t="str">
        <f>IF(AND($K217=$S$7,$B217&lt;'1331'!$I$9),"x","")</f>
        <v/>
      </c>
      <c r="V217" s="90" t="str">
        <f>IF(AND('3411-CT'!$E$9=TH!H217,OR(TH!J217=TH!$V$7,K217=TH!$V$7)),"x","")</f>
        <v/>
      </c>
      <c r="W217" s="90" t="str">
        <f>IF(OR(TH!J217=TH!$W$7,K217=TH!$W$7),"x","")</f>
        <v/>
      </c>
      <c r="X217" s="90" t="str">
        <f t="shared" si="9"/>
        <v/>
      </c>
    </row>
    <row r="218" spans="1:24" ht="15.75" customHeight="1">
      <c r="A218" s="158" t="str">
        <f>IF(B218&lt;&gt;"",IF(AND(B218&gt;=_TM1,B218&lt;=_TM2,OR(TH!J218="1111",TH!K218="1111")),TH!D218,""),"")</f>
        <v/>
      </c>
      <c r="B218" s="63" t="str">
        <f t="shared" si="10"/>
        <v/>
      </c>
      <c r="C218" s="64"/>
      <c r="D218" s="64"/>
      <c r="E218" s="64"/>
      <c r="F218" s="67"/>
      <c r="G218" s="439"/>
      <c r="H218" s="79"/>
      <c r="I218" s="65"/>
      <c r="J218" s="66"/>
      <c r="K218" s="66"/>
      <c r="L218" s="90" t="str">
        <f>IF(AND('331-CT'!$E$7=TH!H218,OR(J218="331",K218="331")),"x","")</f>
        <v/>
      </c>
      <c r="M218" s="90" t="str">
        <f>IF(AND($B218&gt;='1111'!$N$10,$B218&lt;='1111'!$O$10,OR($J218=$M$7,$K218=$M$7)),"x","")</f>
        <v/>
      </c>
      <c r="N218" s="90" t="str">
        <f>IF(AND($J218=$M$7,$B218&lt;'1111'!$N$10),"x","")</f>
        <v/>
      </c>
      <c r="O218" s="90" t="str">
        <f>IF(AND($K218=$M$7,$B218&lt;'1111'!$N$10),"x","")</f>
        <v/>
      </c>
      <c r="P218" s="90" t="str">
        <f>IF(AND($B218&gt;='1121'!$N$9,$B218&lt;='1121'!$O$9,OR($J218=$P$7,$K218=$P$7)),"x","")</f>
        <v/>
      </c>
      <c r="Q218" s="90" t="str">
        <f>IF(AND($J218=$P$7,$B218&lt;'1121'!$N$9),"x","")</f>
        <v/>
      </c>
      <c r="R218" s="90" t="str">
        <f>IF(AND($K218=$P$7,$B218&lt;'1121'!$N$9),"x","")</f>
        <v/>
      </c>
      <c r="S218" s="90" t="str">
        <f>IF(AND($B218&gt;='1331'!$I$9,$B218&lt;='1331'!$J$9,OR($J218=$S$7,$K218=$S$7)),"x","")</f>
        <v/>
      </c>
      <c r="T218" s="90" t="str">
        <f>IF(AND($J218=$S$7,$B218&lt;'1331'!$I$9),"x","")</f>
        <v/>
      </c>
      <c r="U218" s="90" t="str">
        <f>IF(AND($K218=$S$7,$B218&lt;'1331'!$I$9),"x","")</f>
        <v/>
      </c>
      <c r="V218" s="90" t="str">
        <f>IF(AND('3411-CT'!$E$9=TH!H218,OR(TH!J218=TH!$V$7,K218=TH!$V$7)),"x","")</f>
        <v/>
      </c>
      <c r="W218" s="90" t="str">
        <f>IF(OR(TH!J218=TH!$W$7,K218=TH!$W$7),"x","")</f>
        <v/>
      </c>
      <c r="X218" s="90" t="str">
        <f t="shared" si="9"/>
        <v/>
      </c>
    </row>
    <row r="219" spans="1:24" ht="15.75" customHeight="1">
      <c r="A219" s="158" t="str">
        <f>IF(B219&lt;&gt;"",IF(AND(B219&gt;=_TM1,B219&lt;=_TM2,OR(TH!J219="1111",TH!K219="1111")),TH!D219,""),"")</f>
        <v/>
      </c>
      <c r="B219" s="63" t="str">
        <f t="shared" si="10"/>
        <v/>
      </c>
      <c r="C219" s="64"/>
      <c r="D219" s="64"/>
      <c r="E219" s="64"/>
      <c r="F219" s="67"/>
      <c r="G219" s="439"/>
      <c r="H219" s="79"/>
      <c r="I219" s="65"/>
      <c r="J219" s="66"/>
      <c r="K219" s="66"/>
      <c r="L219" s="90" t="str">
        <f>IF(AND('331-CT'!$E$7=TH!H219,OR(J219="331",K219="331")),"x","")</f>
        <v/>
      </c>
      <c r="M219" s="90" t="str">
        <f>IF(AND($B219&gt;='1111'!$N$10,$B219&lt;='1111'!$O$10,OR($J219=$M$7,$K219=$M$7)),"x","")</f>
        <v/>
      </c>
      <c r="N219" s="90" t="str">
        <f>IF(AND($J219=$M$7,$B219&lt;'1111'!$N$10),"x","")</f>
        <v/>
      </c>
      <c r="O219" s="90" t="str">
        <f>IF(AND($K219=$M$7,$B219&lt;'1111'!$N$10),"x","")</f>
        <v/>
      </c>
      <c r="P219" s="90" t="str">
        <f>IF(AND($B219&gt;='1121'!$N$9,$B219&lt;='1121'!$O$9,OR($J219=$P$7,$K219=$P$7)),"x","")</f>
        <v/>
      </c>
      <c r="Q219" s="90" t="str">
        <f>IF(AND($J219=$P$7,$B219&lt;'1121'!$N$9),"x","")</f>
        <v/>
      </c>
      <c r="R219" s="90" t="str">
        <f>IF(AND($K219=$P$7,$B219&lt;'1121'!$N$9),"x","")</f>
        <v/>
      </c>
      <c r="S219" s="90" t="str">
        <f>IF(AND($B219&gt;='1331'!$I$9,$B219&lt;='1331'!$J$9,OR($J219=$S$7,$K219=$S$7)),"x","")</f>
        <v/>
      </c>
      <c r="T219" s="90" t="str">
        <f>IF(AND($J219=$S$7,$B219&lt;'1331'!$I$9),"x","")</f>
        <v/>
      </c>
      <c r="U219" s="90" t="str">
        <f>IF(AND($K219=$S$7,$B219&lt;'1331'!$I$9),"x","")</f>
        <v/>
      </c>
      <c r="V219" s="90" t="str">
        <f>IF(AND('3411-CT'!$E$9=TH!H219,OR(TH!J219=TH!$V$7,K219=TH!$V$7)),"x","")</f>
        <v/>
      </c>
      <c r="W219" s="90" t="str">
        <f>IF(OR(TH!J219=TH!$W$7,K219=TH!$W$7),"x","")</f>
        <v/>
      </c>
      <c r="X219" s="90" t="str">
        <f t="shared" si="9"/>
        <v/>
      </c>
    </row>
    <row r="220" spans="1:24" ht="15.75" customHeight="1">
      <c r="A220" s="158" t="str">
        <f>IF(B220&lt;&gt;"",IF(AND(B220&gt;=_TM1,B220&lt;=_TM2,OR(TH!J220="1111",TH!K220="1111")),TH!D220,""),"")</f>
        <v/>
      </c>
      <c r="B220" s="63" t="str">
        <f t="shared" si="10"/>
        <v/>
      </c>
      <c r="C220" s="64"/>
      <c r="D220" s="64"/>
      <c r="E220" s="64"/>
      <c r="F220" s="67"/>
      <c r="G220" s="439"/>
      <c r="H220" s="79"/>
      <c r="I220" s="65"/>
      <c r="J220" s="66"/>
      <c r="K220" s="66"/>
      <c r="L220" s="90" t="str">
        <f>IF(AND('331-CT'!$E$7=TH!H220,OR(J220="331",K220="331")),"x","")</f>
        <v/>
      </c>
      <c r="M220" s="90" t="str">
        <f>IF(AND($B220&gt;='1111'!$N$10,$B220&lt;='1111'!$O$10,OR($J220=$M$7,$K220=$M$7)),"x","")</f>
        <v/>
      </c>
      <c r="N220" s="90" t="str">
        <f>IF(AND($J220=$M$7,$B220&lt;'1111'!$N$10),"x","")</f>
        <v/>
      </c>
      <c r="O220" s="90" t="str">
        <f>IF(AND($K220=$M$7,$B220&lt;'1111'!$N$10),"x","")</f>
        <v/>
      </c>
      <c r="P220" s="90" t="str">
        <f>IF(AND($B220&gt;='1121'!$N$9,$B220&lt;='1121'!$O$9,OR($J220=$P$7,$K220=$P$7)),"x","")</f>
        <v/>
      </c>
      <c r="Q220" s="90" t="str">
        <f>IF(AND($J220=$P$7,$B220&lt;'1121'!$N$9),"x","")</f>
        <v/>
      </c>
      <c r="R220" s="90" t="str">
        <f>IF(AND($K220=$P$7,$B220&lt;'1121'!$N$9),"x","")</f>
        <v/>
      </c>
      <c r="S220" s="90" t="str">
        <f>IF(AND($B220&gt;='1331'!$I$9,$B220&lt;='1331'!$J$9,OR($J220=$S$7,$K220=$S$7)),"x","")</f>
        <v/>
      </c>
      <c r="T220" s="90" t="str">
        <f>IF(AND($J220=$S$7,$B220&lt;'1331'!$I$9),"x","")</f>
        <v/>
      </c>
      <c r="U220" s="90" t="str">
        <f>IF(AND($K220=$S$7,$B220&lt;'1331'!$I$9),"x","")</f>
        <v/>
      </c>
      <c r="V220" s="90" t="str">
        <f>IF(AND('3411-CT'!$E$9=TH!H220,OR(TH!J220=TH!$V$7,K220=TH!$V$7)),"x","")</f>
        <v/>
      </c>
      <c r="W220" s="90" t="str">
        <f>IF(OR(TH!J220=TH!$W$7,K220=TH!$W$7),"x","")</f>
        <v/>
      </c>
      <c r="X220" s="90" t="str">
        <f t="shared" si="9"/>
        <v/>
      </c>
    </row>
    <row r="221" spans="1:24" ht="15.75" customHeight="1">
      <c r="A221" s="158" t="str">
        <f>IF(B221&lt;&gt;"",IF(AND(B221&gt;=_TM1,B221&lt;=_TM2,OR(TH!J221="1111",TH!K221="1111")),TH!D221,""),"")</f>
        <v/>
      </c>
      <c r="B221" s="63" t="str">
        <f t="shared" si="10"/>
        <v/>
      </c>
      <c r="C221" s="64"/>
      <c r="D221" s="64"/>
      <c r="E221" s="64"/>
      <c r="F221" s="67"/>
      <c r="G221" s="439"/>
      <c r="H221" s="79"/>
      <c r="I221" s="65"/>
      <c r="J221" s="66"/>
      <c r="K221" s="66"/>
      <c r="L221" s="90" t="str">
        <f>IF(AND('331-CT'!$E$7=TH!H221,OR(J221="331",K221="331")),"x","")</f>
        <v/>
      </c>
      <c r="M221" s="90" t="str">
        <f>IF(AND($B221&gt;='1111'!$N$10,$B221&lt;='1111'!$O$10,OR($J221=$M$7,$K221=$M$7)),"x","")</f>
        <v/>
      </c>
      <c r="N221" s="90" t="str">
        <f>IF(AND($J221=$M$7,$B221&lt;'1111'!$N$10),"x","")</f>
        <v/>
      </c>
      <c r="O221" s="90" t="str">
        <f>IF(AND($K221=$M$7,$B221&lt;'1111'!$N$10),"x","")</f>
        <v/>
      </c>
      <c r="P221" s="90" t="str">
        <f>IF(AND($B221&gt;='1121'!$N$9,$B221&lt;='1121'!$O$9,OR($J221=$P$7,$K221=$P$7)),"x","")</f>
        <v/>
      </c>
      <c r="Q221" s="90" t="str">
        <f>IF(AND($J221=$P$7,$B221&lt;'1121'!$N$9),"x","")</f>
        <v/>
      </c>
      <c r="R221" s="90" t="str">
        <f>IF(AND($K221=$P$7,$B221&lt;'1121'!$N$9),"x","")</f>
        <v/>
      </c>
      <c r="S221" s="90" t="str">
        <f>IF(AND($B221&gt;='1331'!$I$9,$B221&lt;='1331'!$J$9,OR($J221=$S$7,$K221=$S$7)),"x","")</f>
        <v/>
      </c>
      <c r="T221" s="90" t="str">
        <f>IF(AND($J221=$S$7,$B221&lt;'1331'!$I$9),"x","")</f>
        <v/>
      </c>
      <c r="U221" s="90" t="str">
        <f>IF(AND($K221=$S$7,$B221&lt;'1331'!$I$9),"x","")</f>
        <v/>
      </c>
      <c r="V221" s="90" t="str">
        <f>IF(AND('3411-CT'!$E$9=TH!H221,OR(TH!J221=TH!$V$7,K221=TH!$V$7)),"x","")</f>
        <v/>
      </c>
      <c r="W221" s="90" t="str">
        <f>IF(OR(TH!J221=TH!$W$7,K221=TH!$W$7),"x","")</f>
        <v/>
      </c>
      <c r="X221" s="90" t="str">
        <f t="shared" si="9"/>
        <v/>
      </c>
    </row>
    <row r="222" spans="1:24" ht="15.75" customHeight="1">
      <c r="A222" s="158" t="str">
        <f>IF(B222&lt;&gt;"",IF(AND(B222&gt;=_TM1,B222&lt;=_TM2,OR(TH!J222="1111",TH!K222="1111")),TH!D222,""),"")</f>
        <v/>
      </c>
      <c r="B222" s="63" t="str">
        <f t="shared" si="10"/>
        <v/>
      </c>
      <c r="C222" s="64"/>
      <c r="D222" s="64"/>
      <c r="E222" s="64"/>
      <c r="F222" s="67"/>
      <c r="G222" s="439"/>
      <c r="H222" s="79"/>
      <c r="I222" s="65"/>
      <c r="J222" s="66"/>
      <c r="K222" s="66"/>
      <c r="L222" s="90" t="str">
        <f>IF(AND('331-CT'!$E$7=TH!H222,OR(J222="331",K222="331")),"x","")</f>
        <v/>
      </c>
      <c r="M222" s="90" t="str">
        <f>IF(AND($B222&gt;='1111'!$N$10,$B222&lt;='1111'!$O$10,OR($J222=$M$7,$K222=$M$7)),"x","")</f>
        <v/>
      </c>
      <c r="N222" s="90" t="str">
        <f>IF(AND($J222=$M$7,$B222&lt;'1111'!$N$10),"x","")</f>
        <v/>
      </c>
      <c r="O222" s="90" t="str">
        <f>IF(AND($K222=$M$7,$B222&lt;'1111'!$N$10),"x","")</f>
        <v/>
      </c>
      <c r="P222" s="90" t="str">
        <f>IF(AND($B222&gt;='1121'!$N$9,$B222&lt;='1121'!$O$9,OR($J222=$P$7,$K222=$P$7)),"x","")</f>
        <v/>
      </c>
      <c r="Q222" s="90" t="str">
        <f>IF(AND($J222=$P$7,$B222&lt;'1121'!$N$9),"x","")</f>
        <v/>
      </c>
      <c r="R222" s="90" t="str">
        <f>IF(AND($K222=$P$7,$B222&lt;'1121'!$N$9),"x","")</f>
        <v/>
      </c>
      <c r="S222" s="90" t="str">
        <f>IF(AND($B222&gt;='1331'!$I$9,$B222&lt;='1331'!$J$9,OR($J222=$S$7,$K222=$S$7)),"x","")</f>
        <v/>
      </c>
      <c r="T222" s="90" t="str">
        <f>IF(AND($J222=$S$7,$B222&lt;'1331'!$I$9),"x","")</f>
        <v/>
      </c>
      <c r="U222" s="90" t="str">
        <f>IF(AND($K222=$S$7,$B222&lt;'1331'!$I$9),"x","")</f>
        <v/>
      </c>
      <c r="V222" s="90" t="str">
        <f>IF(AND('3411-CT'!$E$9=TH!H222,OR(TH!J222=TH!$V$7,K222=TH!$V$7)),"x","")</f>
        <v/>
      </c>
      <c r="W222" s="90" t="str">
        <f>IF(OR(TH!J222=TH!$W$7,K222=TH!$W$7),"x","")</f>
        <v/>
      </c>
      <c r="X222" s="90" t="str">
        <f t="shared" si="9"/>
        <v/>
      </c>
    </row>
    <row r="223" spans="1:24" ht="15.75" customHeight="1">
      <c r="A223" s="158" t="str">
        <f>IF(B223&lt;&gt;"",IF(AND(B223&gt;=_TM1,B223&lt;=_TM2,OR(TH!J223="1111",TH!K223="1111")),TH!D223,""),"")</f>
        <v/>
      </c>
      <c r="B223" s="63" t="str">
        <f t="shared" si="10"/>
        <v/>
      </c>
      <c r="C223" s="64"/>
      <c r="D223" s="64"/>
      <c r="E223" s="64"/>
      <c r="F223" s="67"/>
      <c r="G223" s="439"/>
      <c r="H223" s="79"/>
      <c r="I223" s="65"/>
      <c r="J223" s="66"/>
      <c r="K223" s="66"/>
      <c r="L223" s="90" t="str">
        <f>IF(AND('331-CT'!$E$7=TH!H223,OR(J223="331",K223="331")),"x","")</f>
        <v/>
      </c>
      <c r="M223" s="90" t="str">
        <f>IF(AND($B223&gt;='1111'!$N$10,$B223&lt;='1111'!$O$10,OR($J223=$M$7,$K223=$M$7)),"x","")</f>
        <v/>
      </c>
      <c r="N223" s="90" t="str">
        <f>IF(AND($J223=$M$7,$B223&lt;'1111'!$N$10),"x","")</f>
        <v/>
      </c>
      <c r="O223" s="90" t="str">
        <f>IF(AND($K223=$M$7,$B223&lt;'1111'!$N$10),"x","")</f>
        <v/>
      </c>
      <c r="P223" s="90" t="str">
        <f>IF(AND($B223&gt;='1121'!$N$9,$B223&lt;='1121'!$O$9,OR($J223=$P$7,$K223=$P$7)),"x","")</f>
        <v/>
      </c>
      <c r="Q223" s="90" t="str">
        <f>IF(AND($J223=$P$7,$B223&lt;'1121'!$N$9),"x","")</f>
        <v/>
      </c>
      <c r="R223" s="90" t="str">
        <f>IF(AND($K223=$P$7,$B223&lt;'1121'!$N$9),"x","")</f>
        <v/>
      </c>
      <c r="S223" s="90" t="str">
        <f>IF(AND($B223&gt;='1331'!$I$9,$B223&lt;='1331'!$J$9,OR($J223=$S$7,$K223=$S$7)),"x","")</f>
        <v/>
      </c>
      <c r="T223" s="90" t="str">
        <f>IF(AND($J223=$S$7,$B223&lt;'1331'!$I$9),"x","")</f>
        <v/>
      </c>
      <c r="U223" s="90" t="str">
        <f>IF(AND($K223=$S$7,$B223&lt;'1331'!$I$9),"x","")</f>
        <v/>
      </c>
      <c r="V223" s="90" t="str">
        <f>IF(AND('3411-CT'!$E$9=TH!H223,OR(TH!J223=TH!$V$7,K223=TH!$V$7)),"x","")</f>
        <v/>
      </c>
      <c r="W223" s="90" t="str">
        <f>IF(OR(TH!J223=TH!$W$7,K223=TH!$W$7),"x","")</f>
        <v/>
      </c>
      <c r="X223" s="90" t="str">
        <f t="shared" si="9"/>
        <v/>
      </c>
    </row>
    <row r="224" spans="1:24" ht="15.75" customHeight="1">
      <c r="A224" s="158" t="str">
        <f>IF(B224&lt;&gt;"",IF(AND(B224&gt;=_TM1,B224&lt;=_TM2,OR(TH!J224="1111",TH!K224="1111")),TH!D224,""),"")</f>
        <v/>
      </c>
      <c r="B224" s="63" t="str">
        <f t="shared" si="10"/>
        <v/>
      </c>
      <c r="C224" s="64"/>
      <c r="D224" s="64"/>
      <c r="E224" s="64"/>
      <c r="F224" s="67"/>
      <c r="G224" s="439"/>
      <c r="H224" s="79"/>
      <c r="I224" s="65"/>
      <c r="J224" s="66"/>
      <c r="K224" s="66"/>
      <c r="L224" s="90" t="str">
        <f>IF(AND('331-CT'!$E$7=TH!H224,OR(J224="331",K224="331")),"x","")</f>
        <v/>
      </c>
      <c r="M224" s="90" t="str">
        <f>IF(AND($B224&gt;='1111'!$N$10,$B224&lt;='1111'!$O$10,OR($J224=$M$7,$K224=$M$7)),"x","")</f>
        <v/>
      </c>
      <c r="N224" s="90" t="str">
        <f>IF(AND($J224=$M$7,$B224&lt;'1111'!$N$10),"x","")</f>
        <v/>
      </c>
      <c r="O224" s="90" t="str">
        <f>IF(AND($K224=$M$7,$B224&lt;'1111'!$N$10),"x","")</f>
        <v/>
      </c>
      <c r="P224" s="90" t="str">
        <f>IF(AND($B224&gt;='1121'!$N$9,$B224&lt;='1121'!$O$9,OR($J224=$P$7,$K224=$P$7)),"x","")</f>
        <v/>
      </c>
      <c r="Q224" s="90" t="str">
        <f>IF(AND($J224=$P$7,$B224&lt;'1121'!$N$9),"x","")</f>
        <v/>
      </c>
      <c r="R224" s="90" t="str">
        <f>IF(AND($K224=$P$7,$B224&lt;'1121'!$N$9),"x","")</f>
        <v/>
      </c>
      <c r="S224" s="90" t="str">
        <f>IF(AND($B224&gt;='1331'!$I$9,$B224&lt;='1331'!$J$9,OR($J224=$S$7,$K224=$S$7)),"x","")</f>
        <v/>
      </c>
      <c r="T224" s="90" t="str">
        <f>IF(AND($J224=$S$7,$B224&lt;'1331'!$I$9),"x","")</f>
        <v/>
      </c>
      <c r="U224" s="90" t="str">
        <f>IF(AND($K224=$S$7,$B224&lt;'1331'!$I$9),"x","")</f>
        <v/>
      </c>
      <c r="V224" s="90" t="str">
        <f>IF(AND('3411-CT'!$E$9=TH!H224,OR(TH!J224=TH!$V$7,K224=TH!$V$7)),"x","")</f>
        <v/>
      </c>
      <c r="W224" s="90" t="str">
        <f>IF(OR(TH!J224=TH!$W$7,K224=TH!$W$7),"x","")</f>
        <v/>
      </c>
      <c r="X224" s="90" t="str">
        <f t="shared" ref="X224:X234" si="11">IF(AND(1&lt;=$B224,$B224&lt;=3),"1",IF(AND(4&lt;=$B224,$B224&lt;=6),"2",IF(AND(7&lt;=$B224,$B224&lt;=9),"3",IF(AND(10&lt;=$B224,$B224&lt;=12),"4",""))))</f>
        <v/>
      </c>
    </row>
    <row r="225" spans="1:24" ht="15.75" customHeight="1">
      <c r="A225" s="158" t="str">
        <f>IF(B225&lt;&gt;"",IF(AND(B225&gt;=_TM1,B225&lt;=_TM2,OR(TH!J225="1111",TH!K225="1111")),TH!D225,""),"")</f>
        <v/>
      </c>
      <c r="B225" s="63" t="str">
        <f t="shared" si="10"/>
        <v/>
      </c>
      <c r="C225" s="64"/>
      <c r="D225" s="64"/>
      <c r="E225" s="64"/>
      <c r="F225" s="67"/>
      <c r="G225" s="439"/>
      <c r="H225" s="79"/>
      <c r="I225" s="65"/>
      <c r="J225" s="66"/>
      <c r="K225" s="66"/>
      <c r="L225" s="90" t="str">
        <f>IF(AND('331-CT'!$E$7=TH!H225,OR(J225="331",K225="331")),"x","")</f>
        <v/>
      </c>
      <c r="M225" s="90" t="str">
        <f>IF(AND($B225&gt;='1111'!$N$10,$B225&lt;='1111'!$O$10,OR($J225=$M$7,$K225=$M$7)),"x","")</f>
        <v/>
      </c>
      <c r="N225" s="90" t="str">
        <f>IF(AND($J225=$M$7,$B225&lt;'1111'!$N$10),"x","")</f>
        <v/>
      </c>
      <c r="O225" s="90" t="str">
        <f>IF(AND($K225=$M$7,$B225&lt;'1111'!$N$10),"x","")</f>
        <v/>
      </c>
      <c r="P225" s="90" t="str">
        <f>IF(AND($B225&gt;='1121'!$N$9,$B225&lt;='1121'!$O$9,OR($J225=$P$7,$K225=$P$7)),"x","")</f>
        <v/>
      </c>
      <c r="Q225" s="90" t="str">
        <f>IF(AND($J225=$P$7,$B225&lt;'1121'!$N$9),"x","")</f>
        <v/>
      </c>
      <c r="R225" s="90" t="str">
        <f>IF(AND($K225=$P$7,$B225&lt;'1121'!$N$9),"x","")</f>
        <v/>
      </c>
      <c r="S225" s="90" t="str">
        <f>IF(AND($B225&gt;='1331'!$I$9,$B225&lt;='1331'!$J$9,OR($J225=$S$7,$K225=$S$7)),"x","")</f>
        <v/>
      </c>
      <c r="T225" s="90" t="str">
        <f>IF(AND($J225=$S$7,$B225&lt;'1331'!$I$9),"x","")</f>
        <v/>
      </c>
      <c r="U225" s="90" t="str">
        <f>IF(AND($K225=$S$7,$B225&lt;'1331'!$I$9),"x","")</f>
        <v/>
      </c>
      <c r="V225" s="90" t="str">
        <f>IF(AND('3411-CT'!$E$9=TH!H225,OR(TH!J225=TH!$V$7,K225=TH!$V$7)),"x","")</f>
        <v/>
      </c>
      <c r="W225" s="90" t="str">
        <f>IF(OR(TH!J225=TH!$W$7,K225=TH!$W$7),"x","")</f>
        <v/>
      </c>
      <c r="X225" s="90" t="str">
        <f t="shared" si="11"/>
        <v/>
      </c>
    </row>
    <row r="226" spans="1:24" ht="15.75" customHeight="1">
      <c r="A226" s="158" t="str">
        <f>IF(B226&lt;&gt;"",IF(AND(B226&gt;=_TM1,B226&lt;=_TM2,OR(TH!J226="1111",TH!K226="1111")),TH!D226,""),"")</f>
        <v/>
      </c>
      <c r="B226" s="63" t="str">
        <f t="shared" si="10"/>
        <v/>
      </c>
      <c r="C226" s="64"/>
      <c r="D226" s="64"/>
      <c r="E226" s="64"/>
      <c r="F226" s="67"/>
      <c r="G226" s="439"/>
      <c r="H226" s="79"/>
      <c r="I226" s="65"/>
      <c r="J226" s="66"/>
      <c r="K226" s="66"/>
      <c r="L226" s="90" t="str">
        <f>IF(AND('331-CT'!$E$7=TH!H226,OR(J226="331",K226="331")),"x","")</f>
        <v/>
      </c>
      <c r="M226" s="90" t="str">
        <f>IF(AND($B226&gt;='1111'!$N$10,$B226&lt;='1111'!$O$10,OR($J226=$M$7,$K226=$M$7)),"x","")</f>
        <v/>
      </c>
      <c r="N226" s="90" t="str">
        <f>IF(AND($J226=$M$7,$B226&lt;'1111'!$N$10),"x","")</f>
        <v/>
      </c>
      <c r="O226" s="90" t="str">
        <f>IF(AND($K226=$M$7,$B226&lt;'1111'!$N$10),"x","")</f>
        <v/>
      </c>
      <c r="P226" s="90" t="str">
        <f>IF(AND($B226&gt;='1121'!$N$9,$B226&lt;='1121'!$O$9,OR($J226=$P$7,$K226=$P$7)),"x","")</f>
        <v/>
      </c>
      <c r="Q226" s="90" t="str">
        <f>IF(AND($J226=$P$7,$B226&lt;'1121'!$N$9),"x","")</f>
        <v/>
      </c>
      <c r="R226" s="90" t="str">
        <f>IF(AND($K226=$P$7,$B226&lt;'1121'!$N$9),"x","")</f>
        <v/>
      </c>
      <c r="S226" s="90" t="str">
        <f>IF(AND($B226&gt;='1331'!$I$9,$B226&lt;='1331'!$J$9,OR($J226=$S$7,$K226=$S$7)),"x","")</f>
        <v/>
      </c>
      <c r="T226" s="90" t="str">
        <f>IF(AND($J226=$S$7,$B226&lt;'1331'!$I$9),"x","")</f>
        <v/>
      </c>
      <c r="U226" s="90" t="str">
        <f>IF(AND($K226=$S$7,$B226&lt;'1331'!$I$9),"x","")</f>
        <v/>
      </c>
      <c r="V226" s="90" t="str">
        <f>IF(AND('3411-CT'!$E$9=TH!H226,OR(TH!J226=TH!$V$7,K226=TH!$V$7)),"x","")</f>
        <v/>
      </c>
      <c r="W226" s="90" t="str">
        <f>IF(OR(TH!J226=TH!$W$7,K226=TH!$W$7),"x","")</f>
        <v/>
      </c>
      <c r="X226" s="90" t="str">
        <f t="shared" si="11"/>
        <v/>
      </c>
    </row>
    <row r="227" spans="1:24" ht="15.75" customHeight="1">
      <c r="A227" s="158" t="str">
        <f>IF(B227&lt;&gt;"",IF(AND(B227&gt;=_TM1,B227&lt;=_TM2,OR(TH!J227="1111",TH!K227="1111")),TH!D227,""),"")</f>
        <v/>
      </c>
      <c r="B227" s="63" t="str">
        <f t="shared" si="10"/>
        <v/>
      </c>
      <c r="C227" s="64"/>
      <c r="D227" s="64"/>
      <c r="E227" s="64"/>
      <c r="F227" s="67"/>
      <c r="G227" s="439"/>
      <c r="H227" s="79"/>
      <c r="I227" s="65"/>
      <c r="J227" s="66"/>
      <c r="K227" s="66"/>
      <c r="L227" s="90" t="str">
        <f>IF(AND('331-CT'!$E$7=TH!H227,OR(J227="331",K227="331")),"x","")</f>
        <v/>
      </c>
      <c r="M227" s="90" t="str">
        <f>IF(AND($B227&gt;='1111'!$N$10,$B227&lt;='1111'!$O$10,OR($J227=$M$7,$K227=$M$7)),"x","")</f>
        <v/>
      </c>
      <c r="N227" s="90" t="str">
        <f>IF(AND($J227=$M$7,$B227&lt;'1111'!$N$10),"x","")</f>
        <v/>
      </c>
      <c r="O227" s="90" t="str">
        <f>IF(AND($K227=$M$7,$B227&lt;'1111'!$N$10),"x","")</f>
        <v/>
      </c>
      <c r="P227" s="90" t="str">
        <f>IF(AND($B227&gt;='1121'!$N$9,$B227&lt;='1121'!$O$9,OR($J227=$P$7,$K227=$P$7)),"x","")</f>
        <v/>
      </c>
      <c r="Q227" s="90" t="str">
        <f>IF(AND($J227=$P$7,$B227&lt;'1121'!$N$9),"x","")</f>
        <v/>
      </c>
      <c r="R227" s="90" t="str">
        <f>IF(AND($K227=$P$7,$B227&lt;'1121'!$N$9),"x","")</f>
        <v/>
      </c>
      <c r="S227" s="90" t="str">
        <f>IF(AND($B227&gt;='1331'!$I$9,$B227&lt;='1331'!$J$9,OR($J227=$S$7,$K227=$S$7)),"x","")</f>
        <v/>
      </c>
      <c r="T227" s="90" t="str">
        <f>IF(AND($J227=$S$7,$B227&lt;'1331'!$I$9),"x","")</f>
        <v/>
      </c>
      <c r="U227" s="90" t="str">
        <f>IF(AND($K227=$S$7,$B227&lt;'1331'!$I$9),"x","")</f>
        <v/>
      </c>
      <c r="V227" s="90" t="str">
        <f>IF(AND('3411-CT'!$E$9=TH!H227,OR(TH!J227=TH!$V$7,K227=TH!$V$7)),"x","")</f>
        <v/>
      </c>
      <c r="W227" s="90" t="str">
        <f>IF(OR(TH!J227=TH!$W$7,K227=TH!$W$7),"x","")</f>
        <v/>
      </c>
      <c r="X227" s="90" t="str">
        <f t="shared" si="11"/>
        <v/>
      </c>
    </row>
    <row r="228" spans="1:24" ht="15.75" customHeight="1">
      <c r="A228" s="158" t="str">
        <f>IF(B228&lt;&gt;"",IF(AND(B228&gt;=_TM1,B228&lt;=_TM2,OR(TH!J228="1111",TH!K228="1111")),TH!D228,""),"")</f>
        <v/>
      </c>
      <c r="B228" s="63" t="str">
        <f t="shared" si="10"/>
        <v/>
      </c>
      <c r="C228" s="64"/>
      <c r="D228" s="64"/>
      <c r="E228" s="64"/>
      <c r="F228" s="67"/>
      <c r="G228" s="439"/>
      <c r="H228" s="79"/>
      <c r="I228" s="65"/>
      <c r="J228" s="66"/>
      <c r="K228" s="66"/>
      <c r="L228" s="90" t="str">
        <f>IF(AND('331-CT'!$E$7=TH!H228,OR(J228="331",K228="331")),"x","")</f>
        <v/>
      </c>
      <c r="M228" s="90" t="str">
        <f>IF(AND($B228&gt;='1111'!$N$10,$B228&lt;='1111'!$O$10,OR($J228=$M$7,$K228=$M$7)),"x","")</f>
        <v/>
      </c>
      <c r="N228" s="90" t="str">
        <f>IF(AND($J228=$M$7,$B228&lt;'1111'!$N$10),"x","")</f>
        <v/>
      </c>
      <c r="O228" s="90" t="str">
        <f>IF(AND($K228=$M$7,$B228&lt;'1111'!$N$10),"x","")</f>
        <v/>
      </c>
      <c r="P228" s="90" t="str">
        <f>IF(AND($B228&gt;='1121'!$N$9,$B228&lt;='1121'!$O$9,OR($J228=$P$7,$K228=$P$7)),"x","")</f>
        <v/>
      </c>
      <c r="Q228" s="90" t="str">
        <f>IF(AND($J228=$P$7,$B228&lt;'1121'!$N$9),"x","")</f>
        <v/>
      </c>
      <c r="R228" s="90" t="str">
        <f>IF(AND($K228=$P$7,$B228&lt;'1121'!$N$9),"x","")</f>
        <v/>
      </c>
      <c r="S228" s="90" t="str">
        <f>IF(AND($B228&gt;='1331'!$I$9,$B228&lt;='1331'!$J$9,OR($J228=$S$7,$K228=$S$7)),"x","")</f>
        <v/>
      </c>
      <c r="T228" s="90" t="str">
        <f>IF(AND($J228=$S$7,$B228&lt;'1331'!$I$9),"x","")</f>
        <v/>
      </c>
      <c r="U228" s="90" t="str">
        <f>IF(AND($K228=$S$7,$B228&lt;'1331'!$I$9),"x","")</f>
        <v/>
      </c>
      <c r="V228" s="90" t="str">
        <f>IF(AND('3411-CT'!$E$9=TH!H228,OR(TH!J228=TH!$V$7,K228=TH!$V$7)),"x","")</f>
        <v/>
      </c>
      <c r="W228" s="90" t="str">
        <f>IF(OR(TH!J228=TH!$W$7,K228=TH!$W$7),"x","")</f>
        <v/>
      </c>
      <c r="X228" s="90" t="str">
        <f t="shared" si="11"/>
        <v/>
      </c>
    </row>
    <row r="229" spans="1:24" ht="15.75" customHeight="1">
      <c r="A229" s="158" t="str">
        <f>IF(B229&lt;&gt;"",IF(AND(B229&gt;=_TM1,B229&lt;=_TM2,OR(TH!J229="1111",TH!K229="1111")),TH!D229,""),"")</f>
        <v/>
      </c>
      <c r="B229" s="63" t="str">
        <f t="shared" si="10"/>
        <v/>
      </c>
      <c r="C229" s="64"/>
      <c r="D229" s="64"/>
      <c r="E229" s="64"/>
      <c r="F229" s="67"/>
      <c r="G229" s="439"/>
      <c r="H229" s="79"/>
      <c r="I229" s="65"/>
      <c r="J229" s="66"/>
      <c r="K229" s="66"/>
      <c r="L229" s="90" t="str">
        <f>IF(AND('331-CT'!$E$7=TH!H229,OR(J229="331",K229="331")),"x","")</f>
        <v/>
      </c>
      <c r="M229" s="90" t="str">
        <f>IF(AND($B229&gt;='1111'!$N$10,$B229&lt;='1111'!$O$10,OR($J229=$M$7,$K229=$M$7)),"x","")</f>
        <v/>
      </c>
      <c r="N229" s="90" t="str">
        <f>IF(AND($J229=$M$7,$B229&lt;'1111'!$N$10),"x","")</f>
        <v/>
      </c>
      <c r="O229" s="90" t="str">
        <f>IF(AND($K229=$M$7,$B229&lt;'1111'!$N$10),"x","")</f>
        <v/>
      </c>
      <c r="P229" s="90" t="str">
        <f>IF(AND($B229&gt;='1121'!$N$9,$B229&lt;='1121'!$O$9,OR($J229=$P$7,$K229=$P$7)),"x","")</f>
        <v/>
      </c>
      <c r="Q229" s="90" t="str">
        <f>IF(AND($J229=$P$7,$B229&lt;'1121'!$N$9),"x","")</f>
        <v/>
      </c>
      <c r="R229" s="90" t="str">
        <f>IF(AND($K229=$P$7,$B229&lt;'1121'!$N$9),"x","")</f>
        <v/>
      </c>
      <c r="S229" s="90" t="str">
        <f>IF(AND($B229&gt;='1331'!$I$9,$B229&lt;='1331'!$J$9,OR($J229=$S$7,$K229=$S$7)),"x","")</f>
        <v/>
      </c>
      <c r="T229" s="90" t="str">
        <f>IF(AND($J229=$S$7,$B229&lt;'1331'!$I$9),"x","")</f>
        <v/>
      </c>
      <c r="U229" s="90" t="str">
        <f>IF(AND($K229=$S$7,$B229&lt;'1331'!$I$9),"x","")</f>
        <v/>
      </c>
      <c r="V229" s="90" t="str">
        <f>IF(AND('3411-CT'!$E$9=TH!H229,OR(TH!J229=TH!$V$7,K229=TH!$V$7)),"x","")</f>
        <v/>
      </c>
      <c r="W229" s="90" t="str">
        <f>IF(OR(TH!J229=TH!$W$7,K229=TH!$W$7),"x","")</f>
        <v/>
      </c>
      <c r="X229" s="90" t="str">
        <f t="shared" si="11"/>
        <v/>
      </c>
    </row>
    <row r="230" spans="1:24" ht="15.75" customHeight="1">
      <c r="A230" s="158" t="str">
        <f>IF(B230&lt;&gt;"",IF(AND(B230&gt;=_TM1,B230&lt;=_TM2,OR(TH!J230="1111",TH!K230="1111")),TH!D230,""),"")</f>
        <v/>
      </c>
      <c r="B230" s="63" t="str">
        <f t="shared" si="10"/>
        <v/>
      </c>
      <c r="C230" s="64"/>
      <c r="D230" s="64"/>
      <c r="E230" s="64"/>
      <c r="F230" s="67"/>
      <c r="G230" s="439"/>
      <c r="H230" s="79"/>
      <c r="I230" s="65"/>
      <c r="J230" s="66"/>
      <c r="K230" s="66"/>
      <c r="L230" s="90" t="str">
        <f>IF(AND('331-CT'!$E$7=TH!H230,OR(J230="331",K230="331")),"x","")</f>
        <v/>
      </c>
      <c r="M230" s="90" t="str">
        <f>IF(AND($B230&gt;='1111'!$N$10,$B230&lt;='1111'!$O$10,OR($J230=$M$7,$K230=$M$7)),"x","")</f>
        <v/>
      </c>
      <c r="N230" s="90" t="str">
        <f>IF(AND($J230=$M$7,$B230&lt;'1111'!$N$10),"x","")</f>
        <v/>
      </c>
      <c r="O230" s="90" t="str">
        <f>IF(AND($K230=$M$7,$B230&lt;'1111'!$N$10),"x","")</f>
        <v/>
      </c>
      <c r="P230" s="90" t="str">
        <f>IF(AND($B230&gt;='1121'!$N$9,$B230&lt;='1121'!$O$9,OR($J230=$P$7,$K230=$P$7)),"x","")</f>
        <v/>
      </c>
      <c r="Q230" s="90" t="str">
        <f>IF(AND($J230=$P$7,$B230&lt;'1121'!$N$9),"x","")</f>
        <v/>
      </c>
      <c r="R230" s="90" t="str">
        <f>IF(AND($K230=$P$7,$B230&lt;'1121'!$N$9),"x","")</f>
        <v/>
      </c>
      <c r="S230" s="90" t="str">
        <f>IF(AND($B230&gt;='1331'!$I$9,$B230&lt;='1331'!$J$9,OR($J230=$S$7,$K230=$S$7)),"x","")</f>
        <v/>
      </c>
      <c r="T230" s="90" t="str">
        <f>IF(AND($J230=$S$7,$B230&lt;'1331'!$I$9),"x","")</f>
        <v/>
      </c>
      <c r="U230" s="90" t="str">
        <f>IF(AND($K230=$S$7,$B230&lt;'1331'!$I$9),"x","")</f>
        <v/>
      </c>
      <c r="V230" s="90" t="str">
        <f>IF(AND('3411-CT'!$E$9=TH!H230,OR(TH!J230=TH!$V$7,K230=TH!$V$7)),"x","")</f>
        <v/>
      </c>
      <c r="W230" s="90" t="str">
        <f>IF(OR(TH!J230=TH!$W$7,K230=TH!$W$7),"x","")</f>
        <v/>
      </c>
      <c r="X230" s="90" t="str">
        <f t="shared" si="11"/>
        <v/>
      </c>
    </row>
    <row r="231" spans="1:24" ht="15.75" customHeight="1">
      <c r="A231" s="158" t="str">
        <f>IF(B231&lt;&gt;"",IF(AND(B231&gt;=_TM1,B231&lt;=_TM2,OR(TH!J231="1111",TH!K231="1111")),TH!D231,""),"")</f>
        <v/>
      </c>
      <c r="B231" s="63" t="str">
        <f t="shared" si="10"/>
        <v/>
      </c>
      <c r="C231" s="64"/>
      <c r="D231" s="64"/>
      <c r="E231" s="64"/>
      <c r="F231" s="67"/>
      <c r="G231" s="439"/>
      <c r="H231" s="79"/>
      <c r="I231" s="65"/>
      <c r="J231" s="66"/>
      <c r="K231" s="66"/>
      <c r="L231" s="90" t="str">
        <f>IF(AND('331-CT'!$E$7=TH!H231,OR(J231="331",K231="331")),"x","")</f>
        <v/>
      </c>
      <c r="M231" s="90" t="str">
        <f>IF(AND($B231&gt;='1111'!$N$10,$B231&lt;='1111'!$O$10,OR($J231=$M$7,$K231=$M$7)),"x","")</f>
        <v/>
      </c>
      <c r="N231" s="90" t="str">
        <f>IF(AND($J231=$M$7,$B231&lt;'1111'!$N$10),"x","")</f>
        <v/>
      </c>
      <c r="O231" s="90" t="str">
        <f>IF(AND($K231=$M$7,$B231&lt;'1111'!$N$10),"x","")</f>
        <v/>
      </c>
      <c r="P231" s="90" t="str">
        <f>IF(AND($B231&gt;='1121'!$N$9,$B231&lt;='1121'!$O$9,OR($J231=$P$7,$K231=$P$7)),"x","")</f>
        <v/>
      </c>
      <c r="Q231" s="90" t="str">
        <f>IF(AND($J231=$P$7,$B231&lt;'1121'!$N$9),"x","")</f>
        <v/>
      </c>
      <c r="R231" s="90" t="str">
        <f>IF(AND($K231=$P$7,$B231&lt;'1121'!$N$9),"x","")</f>
        <v/>
      </c>
      <c r="S231" s="90" t="str">
        <f>IF(AND($B231&gt;='1331'!$I$9,$B231&lt;='1331'!$J$9,OR($J231=$S$7,$K231=$S$7)),"x","")</f>
        <v/>
      </c>
      <c r="T231" s="90" t="str">
        <f>IF(AND($J231=$S$7,$B231&lt;'1331'!$I$9),"x","")</f>
        <v/>
      </c>
      <c r="U231" s="90" t="str">
        <f>IF(AND($K231=$S$7,$B231&lt;'1331'!$I$9),"x","")</f>
        <v/>
      </c>
      <c r="V231" s="90" t="str">
        <f>IF(AND('3411-CT'!$E$9=TH!H231,OR(TH!J231=TH!$V$7,K231=TH!$V$7)),"x","")</f>
        <v/>
      </c>
      <c r="W231" s="90" t="str">
        <f>IF(OR(TH!J231=TH!$W$7,K231=TH!$W$7),"x","")</f>
        <v/>
      </c>
      <c r="X231" s="90" t="str">
        <f t="shared" si="11"/>
        <v/>
      </c>
    </row>
    <row r="232" spans="1:24" ht="15.75" customHeight="1">
      <c r="A232" s="158" t="str">
        <f>IF(B232&lt;&gt;"",IF(AND(B232&gt;=_TM1,B232&lt;=_TM2,OR(TH!J232="1111",TH!K232="1111")),TH!D232,""),"")</f>
        <v/>
      </c>
      <c r="B232" s="63" t="str">
        <f t="shared" si="10"/>
        <v/>
      </c>
      <c r="C232" s="64"/>
      <c r="D232" s="64"/>
      <c r="E232" s="64"/>
      <c r="F232" s="67"/>
      <c r="G232" s="439"/>
      <c r="H232" s="79"/>
      <c r="I232" s="65"/>
      <c r="J232" s="66"/>
      <c r="K232" s="66"/>
      <c r="L232" s="90" t="str">
        <f>IF(AND('331-CT'!$E$7=TH!H232,OR(J232="331",K232="331")),"x","")</f>
        <v/>
      </c>
      <c r="M232" s="90" t="str">
        <f>IF(AND($B232&gt;='1111'!$N$10,$B232&lt;='1111'!$O$10,OR($J232=$M$7,$K232=$M$7)),"x","")</f>
        <v/>
      </c>
      <c r="N232" s="90" t="str">
        <f>IF(AND($J232=$M$7,$B232&lt;'1111'!$N$10),"x","")</f>
        <v/>
      </c>
      <c r="O232" s="90" t="str">
        <f>IF(AND($K232=$M$7,$B232&lt;'1111'!$N$10),"x","")</f>
        <v/>
      </c>
      <c r="P232" s="90" t="str">
        <f>IF(AND($B232&gt;='1121'!$N$9,$B232&lt;='1121'!$O$9,OR($J232=$P$7,$K232=$P$7)),"x","")</f>
        <v/>
      </c>
      <c r="Q232" s="90" t="str">
        <f>IF(AND($J232=$P$7,$B232&lt;'1121'!$N$9),"x","")</f>
        <v/>
      </c>
      <c r="R232" s="90" t="str">
        <f>IF(AND($K232=$P$7,$B232&lt;'1121'!$N$9),"x","")</f>
        <v/>
      </c>
      <c r="S232" s="90" t="str">
        <f>IF(AND($B232&gt;='1331'!$I$9,$B232&lt;='1331'!$J$9,OR($J232=$S$7,$K232=$S$7)),"x","")</f>
        <v/>
      </c>
      <c r="T232" s="90" t="str">
        <f>IF(AND($J232=$S$7,$B232&lt;'1331'!$I$9),"x","")</f>
        <v/>
      </c>
      <c r="U232" s="90" t="str">
        <f>IF(AND($K232=$S$7,$B232&lt;'1331'!$I$9),"x","")</f>
        <v/>
      </c>
      <c r="V232" s="90" t="str">
        <f>IF(AND('3411-CT'!$E$9=TH!H232,OR(TH!J232=TH!$V$7,K232=TH!$V$7)),"x","")</f>
        <v/>
      </c>
      <c r="W232" s="90" t="str">
        <f>IF(OR(TH!J232=TH!$W$7,K232=TH!$W$7),"x","")</f>
        <v/>
      </c>
      <c r="X232" s="90" t="str">
        <f t="shared" si="11"/>
        <v/>
      </c>
    </row>
    <row r="233" spans="1:24" ht="15.75" customHeight="1">
      <c r="A233" s="158" t="str">
        <f>IF(B233&lt;&gt;"",IF(AND(B233&gt;=_TM1,B233&lt;=_TM2,OR(TH!J233="1111",TH!K233="1111")),TH!D233,""),"")</f>
        <v/>
      </c>
      <c r="B233" s="63" t="str">
        <f t="shared" si="10"/>
        <v/>
      </c>
      <c r="C233" s="64"/>
      <c r="D233" s="64"/>
      <c r="E233" s="64"/>
      <c r="F233" s="67"/>
      <c r="G233" s="439"/>
      <c r="H233" s="79"/>
      <c r="I233" s="65"/>
      <c r="J233" s="66"/>
      <c r="K233" s="66"/>
      <c r="L233" s="90" t="str">
        <f>IF(AND('331-CT'!$E$7=TH!H233,OR(J233="331",K233="331")),"x","")</f>
        <v/>
      </c>
      <c r="M233" s="90" t="str">
        <f>IF(AND($B233&gt;='1111'!$N$10,$B233&lt;='1111'!$O$10,OR($J233=$M$7,$K233=$M$7)),"x","")</f>
        <v/>
      </c>
      <c r="N233" s="90" t="str">
        <f>IF(AND($J233=$M$7,$B233&lt;'1111'!$N$10),"x","")</f>
        <v/>
      </c>
      <c r="O233" s="90" t="str">
        <f>IF(AND($K233=$M$7,$B233&lt;'1111'!$N$10),"x","")</f>
        <v/>
      </c>
      <c r="P233" s="90" t="str">
        <f>IF(AND($B233&gt;='1121'!$N$9,$B233&lt;='1121'!$O$9,OR($J233=$P$7,$K233=$P$7)),"x","")</f>
        <v/>
      </c>
      <c r="Q233" s="90" t="str">
        <f>IF(AND($J233=$P$7,$B233&lt;'1121'!$N$9),"x","")</f>
        <v/>
      </c>
      <c r="R233" s="90" t="str">
        <f>IF(AND($K233=$P$7,$B233&lt;'1121'!$N$9),"x","")</f>
        <v/>
      </c>
      <c r="S233" s="90" t="str">
        <f>IF(AND($B233&gt;='1331'!$I$9,$B233&lt;='1331'!$J$9,OR($J233=$S$7,$K233=$S$7)),"x","")</f>
        <v/>
      </c>
      <c r="T233" s="90" t="str">
        <f>IF(AND($J233=$S$7,$B233&lt;'1331'!$I$9),"x","")</f>
        <v/>
      </c>
      <c r="U233" s="90" t="str">
        <f>IF(AND($K233=$S$7,$B233&lt;'1331'!$I$9),"x","")</f>
        <v/>
      </c>
      <c r="V233" s="90" t="str">
        <f>IF(AND('3411-CT'!$E$9=TH!H233,OR(TH!J233=TH!$V$7,K233=TH!$V$7)),"x","")</f>
        <v/>
      </c>
      <c r="W233" s="90" t="str">
        <f>IF(OR(TH!J233=TH!$W$7,K233=TH!$W$7),"x","")</f>
        <v/>
      </c>
      <c r="X233" s="90" t="str">
        <f t="shared" si="11"/>
        <v/>
      </c>
    </row>
    <row r="234" spans="1:24" ht="15.75" customHeight="1">
      <c r="A234" s="158" t="str">
        <f>IF(B234&lt;&gt;"",IF(AND(B234&gt;=_TM1,B234&lt;=_TM2,OR(TH!J234="1111",TH!K234="1111")),TH!D234,""),"")</f>
        <v/>
      </c>
      <c r="B234" s="63" t="str">
        <f t="shared" si="10"/>
        <v/>
      </c>
      <c r="C234" s="64"/>
      <c r="D234" s="64"/>
      <c r="E234" s="64"/>
      <c r="F234" s="67"/>
      <c r="G234" s="439"/>
      <c r="H234" s="79"/>
      <c r="I234" s="65"/>
      <c r="J234" s="66"/>
      <c r="K234" s="66"/>
      <c r="L234" s="90" t="str">
        <f>IF(AND('331-CT'!$E$7=TH!H234,OR(J234="331",K234="331")),"x","")</f>
        <v/>
      </c>
      <c r="M234" s="90" t="str">
        <f>IF(AND($B234&gt;='1111'!$N$10,$B234&lt;='1111'!$O$10,OR($J234=$M$7,$K234=$M$7)),"x","")</f>
        <v/>
      </c>
      <c r="N234" s="90" t="str">
        <f>IF(AND($J234=$M$7,$B234&lt;'1111'!$N$10),"x","")</f>
        <v/>
      </c>
      <c r="O234" s="90" t="str">
        <f>IF(AND($K234=$M$7,$B234&lt;'1111'!$N$10),"x","")</f>
        <v/>
      </c>
      <c r="P234" s="90" t="str">
        <f>IF(AND($B234&gt;='1121'!$N$9,$B234&lt;='1121'!$O$9,OR($J234=$P$7,$K234=$P$7)),"x","")</f>
        <v/>
      </c>
      <c r="Q234" s="90" t="str">
        <f>IF(AND($J234=$P$7,$B234&lt;'1121'!$N$9),"x","")</f>
        <v/>
      </c>
      <c r="R234" s="90" t="str">
        <f>IF(AND($K234=$P$7,$B234&lt;'1121'!$N$9),"x","")</f>
        <v/>
      </c>
      <c r="S234" s="90" t="str">
        <f>IF(AND($B234&gt;='1331'!$I$9,$B234&lt;='1331'!$J$9,OR($J234=$S$7,$K234=$S$7)),"x","")</f>
        <v/>
      </c>
      <c r="T234" s="90" t="str">
        <f>IF(AND($J234=$S$7,$B234&lt;'1331'!$I$9),"x","")</f>
        <v/>
      </c>
      <c r="U234" s="90" t="str">
        <f>IF(AND($K234=$S$7,$B234&lt;'1331'!$I$9),"x","")</f>
        <v/>
      </c>
      <c r="V234" s="90" t="str">
        <f>IF(AND('3411-CT'!$E$9=TH!H234,OR(TH!J234=TH!$V$7,K234=TH!$V$7)),"x","")</f>
        <v/>
      </c>
      <c r="W234" s="90" t="str">
        <f>IF(OR(TH!J234=TH!$W$7,K234=TH!$W$7),"x","")</f>
        <v/>
      </c>
      <c r="X234" s="90" t="str">
        <f t="shared" si="11"/>
        <v/>
      </c>
    </row>
  </sheetData>
  <autoFilter ref="A9:P234">
    <filterColumn colId="1"/>
    <filterColumn colId="9"/>
    <filterColumn colId="10"/>
    <filterColumn colId="12"/>
    <filterColumn colId="13"/>
    <filterColumn colId="14"/>
  </autoFilter>
  <sortState ref="A572:X602">
    <sortCondition ref="C572:C602"/>
  </sortState>
  <mergeCells count="18">
    <mergeCell ref="X7:X8"/>
    <mergeCell ref="C4:K4"/>
    <mergeCell ref="C5:K5"/>
    <mergeCell ref="C7:C8"/>
    <mergeCell ref="D7:E7"/>
    <mergeCell ref="F7:F8"/>
    <mergeCell ref="I7:I8"/>
    <mergeCell ref="J7:K7"/>
    <mergeCell ref="G7:G8"/>
    <mergeCell ref="A7:A8"/>
    <mergeCell ref="B7:B8"/>
    <mergeCell ref="H7:H8"/>
    <mergeCell ref="L7:L8"/>
    <mergeCell ref="W7:W8"/>
    <mergeCell ref="V7:V8"/>
    <mergeCell ref="M7:O8"/>
    <mergeCell ref="P7:R8"/>
    <mergeCell ref="S7:U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24"/>
  <sheetViews>
    <sheetView topLeftCell="A7" workbookViewId="0">
      <pane xSplit="8" ySplit="5" topLeftCell="AR36" activePane="bottomRight" state="frozen"/>
      <selection activeCell="E170" sqref="E170"/>
      <selection pane="topRight" activeCell="E170" sqref="E170"/>
      <selection pane="bottomLeft" activeCell="E170" sqref="E170"/>
      <selection pane="bottomRight" activeCell="D57" sqref="D57"/>
    </sheetView>
  </sheetViews>
  <sheetFormatPr defaultRowHeight="12.75"/>
  <cols>
    <col min="1" max="1" width="4.85546875" style="370" customWidth="1"/>
    <col min="2" max="2" width="10.42578125" style="370" customWidth="1"/>
    <col min="3" max="3" width="7.42578125" style="370" customWidth="1"/>
    <col min="4" max="4" width="10.85546875" style="370" customWidth="1"/>
    <col min="5" max="5" width="40" style="370" customWidth="1"/>
    <col min="6" max="6" width="14.140625" style="370" customWidth="1"/>
    <col min="7" max="8" width="5.85546875" style="371" customWidth="1"/>
    <col min="9" max="9" width="4.85546875" style="370" customWidth="1"/>
    <col min="10" max="11" width="15.42578125" style="370" customWidth="1"/>
    <col min="12" max="13" width="16.140625" style="370" customWidth="1"/>
    <col min="14" max="14" width="14.7109375" style="370" customWidth="1"/>
    <col min="15" max="15" width="14.5703125" style="370" customWidth="1"/>
    <col min="16" max="16" width="8.140625" style="370" customWidth="1"/>
    <col min="17" max="17" width="7.28515625" style="370" customWidth="1"/>
    <col min="18" max="18" width="14.5703125" style="370" customWidth="1"/>
    <col min="19" max="19" width="7.140625" style="370" customWidth="1"/>
    <col min="20" max="20" width="15.28515625" style="370" customWidth="1"/>
    <col min="21" max="21" width="7.85546875" style="370" customWidth="1"/>
    <col min="22" max="22" width="9.5703125" style="370" customWidth="1"/>
    <col min="23" max="23" width="6" style="370" customWidth="1"/>
    <col min="24" max="24" width="11.28515625" style="370" customWidth="1"/>
    <col min="25" max="25" width="11.5703125" style="370" customWidth="1"/>
    <col min="26" max="26" width="14.140625" style="370" customWidth="1"/>
    <col min="27" max="27" width="13" style="370" customWidth="1"/>
    <col min="28" max="28" width="6.5703125" style="370" customWidth="1"/>
    <col min="29" max="29" width="15.7109375" style="370" customWidth="1"/>
    <col min="30" max="30" width="6.28515625" style="370" customWidth="1"/>
    <col min="31" max="31" width="15" style="370" customWidth="1"/>
    <col min="32" max="41" width="12.5703125" style="370" customWidth="1"/>
    <col min="42" max="42" width="10.140625" style="370" customWidth="1"/>
    <col min="43" max="43" width="11.85546875" style="370" customWidth="1"/>
    <col min="44" max="44" width="9.140625" style="370" customWidth="1"/>
    <col min="45" max="47" width="10.7109375" style="370" customWidth="1"/>
    <col min="48" max="48" width="14.28515625" style="370" customWidth="1"/>
    <col min="49" max="49" width="14.5703125" style="370" customWidth="1"/>
    <col min="50" max="16384" width="9.140625" style="370"/>
  </cols>
  <sheetData>
    <row r="1" spans="1:49" ht="12.75" customHeight="1">
      <c r="A1" s="366"/>
      <c r="B1" s="367" t="s">
        <v>161</v>
      </c>
      <c r="C1" s="368"/>
      <c r="D1" s="368"/>
      <c r="E1" s="369"/>
      <c r="I1" s="368"/>
      <c r="M1" s="491" t="s">
        <v>267</v>
      </c>
      <c r="N1" s="491"/>
      <c r="O1" s="491"/>
      <c r="P1" s="369"/>
      <c r="V1" s="368"/>
      <c r="W1" s="368"/>
      <c r="X1" s="369"/>
      <c r="Y1" s="369"/>
      <c r="Z1" s="369"/>
      <c r="AA1" s="369"/>
      <c r="AB1" s="369"/>
      <c r="AC1" s="369"/>
      <c r="AD1" s="369"/>
      <c r="AE1" s="369"/>
      <c r="AF1" s="369"/>
      <c r="AG1" s="369"/>
      <c r="AH1" s="369"/>
      <c r="AI1" s="369"/>
      <c r="AJ1" s="369"/>
      <c r="AK1" s="369"/>
      <c r="AL1" s="369"/>
      <c r="AM1" s="369"/>
      <c r="AN1" s="369"/>
      <c r="AO1" s="369"/>
      <c r="AP1" s="368"/>
      <c r="AQ1" s="368"/>
      <c r="AR1" s="368"/>
      <c r="AS1" s="368"/>
      <c r="AT1" s="368"/>
      <c r="AU1" s="368"/>
      <c r="AV1" s="368"/>
      <c r="AW1" s="368"/>
    </row>
    <row r="2" spans="1:49" ht="12.75" customHeight="1">
      <c r="A2" s="366"/>
      <c r="B2" s="367" t="s">
        <v>247</v>
      </c>
      <c r="C2" s="368"/>
      <c r="D2" s="368"/>
      <c r="E2" s="368"/>
      <c r="I2" s="372"/>
      <c r="M2" s="492" t="s">
        <v>268</v>
      </c>
      <c r="N2" s="492"/>
      <c r="O2" s="492"/>
      <c r="P2" s="373"/>
      <c r="V2" s="372"/>
      <c r="W2" s="372"/>
      <c r="X2" s="373"/>
      <c r="Y2" s="373"/>
      <c r="Z2" s="373"/>
      <c r="AA2" s="373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3"/>
      <c r="AM2" s="373"/>
      <c r="AN2" s="373"/>
      <c r="AO2" s="373"/>
      <c r="AP2" s="372"/>
      <c r="AQ2" s="372"/>
      <c r="AR2" s="372"/>
      <c r="AS2" s="372"/>
      <c r="AT2" s="372"/>
      <c r="AU2" s="372"/>
      <c r="AV2" s="372"/>
      <c r="AW2" s="372"/>
    </row>
    <row r="3" spans="1:49" ht="10.5" customHeight="1">
      <c r="A3" s="368"/>
      <c r="B3" s="368"/>
      <c r="C3" s="368"/>
      <c r="D3" s="368"/>
      <c r="E3" s="368"/>
      <c r="F3" s="372"/>
      <c r="G3" s="374"/>
      <c r="H3" s="374"/>
      <c r="I3" s="372"/>
      <c r="M3" s="492"/>
      <c r="N3" s="492"/>
      <c r="O3" s="492"/>
      <c r="P3" s="373"/>
      <c r="V3" s="372"/>
      <c r="W3" s="372"/>
      <c r="X3" s="373"/>
      <c r="Y3" s="373"/>
      <c r="Z3" s="373"/>
      <c r="AA3" s="373"/>
      <c r="AB3" s="373"/>
      <c r="AC3" s="373"/>
      <c r="AD3" s="373"/>
      <c r="AE3" s="373"/>
      <c r="AF3" s="373"/>
      <c r="AG3" s="373"/>
      <c r="AH3" s="373"/>
      <c r="AI3" s="373"/>
      <c r="AJ3" s="373"/>
      <c r="AK3" s="373"/>
      <c r="AL3" s="373"/>
      <c r="AM3" s="373"/>
      <c r="AN3" s="373"/>
      <c r="AO3" s="373"/>
      <c r="AP3" s="372"/>
      <c r="AQ3" s="372"/>
      <c r="AR3" s="372"/>
      <c r="AS3" s="372"/>
      <c r="AT3" s="372"/>
      <c r="AU3" s="372"/>
      <c r="AV3" s="372"/>
      <c r="AW3" s="372"/>
    </row>
    <row r="4" spans="1:49" ht="19.5" customHeight="1">
      <c r="B4" s="493" t="s">
        <v>151</v>
      </c>
      <c r="C4" s="493"/>
      <c r="D4" s="493"/>
      <c r="E4" s="493"/>
      <c r="F4" s="493"/>
      <c r="G4" s="493"/>
      <c r="H4" s="493"/>
      <c r="I4" s="493"/>
      <c r="J4" s="493"/>
      <c r="K4" s="493"/>
      <c r="L4" s="493"/>
      <c r="M4" s="493"/>
      <c r="N4" s="493"/>
      <c r="O4" s="493"/>
      <c r="P4" s="493"/>
      <c r="Q4" s="375"/>
      <c r="R4" s="375"/>
      <c r="S4" s="375"/>
      <c r="T4" s="375"/>
      <c r="U4" s="375"/>
      <c r="V4" s="376"/>
      <c r="W4" s="376"/>
      <c r="X4" s="375"/>
      <c r="Y4" s="375"/>
      <c r="Z4" s="375"/>
      <c r="AA4" s="375"/>
      <c r="AB4" s="375"/>
      <c r="AC4" s="375"/>
      <c r="AD4" s="375"/>
      <c r="AE4" s="375"/>
      <c r="AF4" s="375"/>
      <c r="AG4" s="375"/>
      <c r="AH4" s="375"/>
      <c r="AI4" s="375"/>
      <c r="AJ4" s="375"/>
      <c r="AK4" s="375"/>
      <c r="AL4" s="375"/>
      <c r="AM4" s="375"/>
      <c r="AN4" s="375"/>
      <c r="AO4" s="375"/>
      <c r="AP4" s="377"/>
      <c r="AQ4" s="377"/>
      <c r="AR4" s="377"/>
      <c r="AS4" s="377"/>
      <c r="AT4" s="377"/>
      <c r="AU4" s="377"/>
      <c r="AV4" s="377"/>
      <c r="AW4" s="377"/>
    </row>
    <row r="5" spans="1:49" ht="15">
      <c r="B5" s="494" t="s">
        <v>353</v>
      </c>
      <c r="C5" s="494"/>
      <c r="D5" s="494"/>
      <c r="E5" s="494"/>
      <c r="F5" s="494"/>
      <c r="G5" s="494"/>
      <c r="H5" s="494"/>
      <c r="I5" s="494"/>
      <c r="J5" s="494"/>
      <c r="K5" s="494"/>
      <c r="L5" s="494"/>
      <c r="M5" s="494"/>
      <c r="N5" s="494"/>
      <c r="O5" s="494"/>
      <c r="P5" s="494"/>
      <c r="Q5" s="378"/>
      <c r="R5" s="378"/>
      <c r="S5" s="378"/>
      <c r="T5" s="378"/>
      <c r="U5" s="378"/>
      <c r="V5" s="379"/>
      <c r="W5" s="379"/>
      <c r="X5" s="378"/>
      <c r="Y5" s="378"/>
      <c r="Z5" s="378"/>
      <c r="AA5" s="378"/>
      <c r="AB5" s="378"/>
      <c r="AC5" s="378"/>
      <c r="AD5" s="378"/>
      <c r="AE5" s="378"/>
      <c r="AF5" s="378"/>
      <c r="AG5" s="378"/>
      <c r="AH5" s="378"/>
      <c r="AI5" s="378"/>
      <c r="AJ5" s="378"/>
      <c r="AK5" s="378"/>
      <c r="AL5" s="378"/>
      <c r="AM5" s="378"/>
      <c r="AN5" s="378"/>
      <c r="AO5" s="378"/>
    </row>
    <row r="6" spans="1:49">
      <c r="N6" s="370" t="s">
        <v>199</v>
      </c>
    </row>
    <row r="7" spans="1:49" ht="13.5" customHeight="1">
      <c r="A7" s="495" t="s">
        <v>50</v>
      </c>
      <c r="B7" s="497" t="s">
        <v>30</v>
      </c>
      <c r="C7" s="498" t="s">
        <v>1</v>
      </c>
      <c r="D7" s="499"/>
      <c r="E7" s="497" t="s">
        <v>0</v>
      </c>
      <c r="F7" s="497" t="s">
        <v>152</v>
      </c>
      <c r="G7" s="500" t="s">
        <v>153</v>
      </c>
      <c r="H7" s="500"/>
      <c r="I7" s="501" t="s">
        <v>50</v>
      </c>
      <c r="J7" s="497" t="s">
        <v>269</v>
      </c>
      <c r="K7" s="497"/>
      <c r="L7" s="497" t="s">
        <v>270</v>
      </c>
      <c r="M7" s="497"/>
      <c r="N7" s="497" t="s">
        <v>271</v>
      </c>
      <c r="O7" s="497"/>
      <c r="P7" s="497" t="s">
        <v>272</v>
      </c>
      <c r="Q7" s="497"/>
      <c r="R7" s="497" t="s">
        <v>273</v>
      </c>
      <c r="S7" s="497"/>
      <c r="T7" s="497" t="s">
        <v>274</v>
      </c>
      <c r="U7" s="497"/>
      <c r="V7" s="497" t="s">
        <v>275</v>
      </c>
      <c r="W7" s="497"/>
      <c r="X7" s="497" t="s">
        <v>276</v>
      </c>
      <c r="Y7" s="497"/>
      <c r="Z7" s="497" t="s">
        <v>277</v>
      </c>
      <c r="AA7" s="497"/>
      <c r="AB7" s="497" t="s">
        <v>278</v>
      </c>
      <c r="AC7" s="497"/>
      <c r="AD7" s="497" t="s">
        <v>279</v>
      </c>
      <c r="AE7" s="497"/>
      <c r="AF7" s="497" t="s">
        <v>280</v>
      </c>
      <c r="AG7" s="497"/>
      <c r="AH7" s="497" t="s">
        <v>281</v>
      </c>
      <c r="AI7" s="497"/>
      <c r="AJ7" s="497" t="s">
        <v>282</v>
      </c>
      <c r="AK7" s="497"/>
      <c r="AL7" s="497" t="s">
        <v>283</v>
      </c>
      <c r="AM7" s="497"/>
      <c r="AN7" s="497" t="s">
        <v>284</v>
      </c>
      <c r="AO7" s="497"/>
      <c r="AP7" s="497" t="s">
        <v>285</v>
      </c>
      <c r="AQ7" s="497"/>
      <c r="AR7" s="497" t="s">
        <v>286</v>
      </c>
      <c r="AS7" s="497"/>
      <c r="AT7" s="497" t="s">
        <v>287</v>
      </c>
      <c r="AU7" s="497"/>
      <c r="AV7" s="497" t="s">
        <v>288</v>
      </c>
      <c r="AW7" s="497"/>
    </row>
    <row r="8" spans="1:49" ht="22.5" customHeight="1">
      <c r="A8" s="496"/>
      <c r="B8" s="497"/>
      <c r="C8" s="381" t="s">
        <v>19</v>
      </c>
      <c r="D8" s="380" t="s">
        <v>42</v>
      </c>
      <c r="E8" s="497"/>
      <c r="F8" s="497"/>
      <c r="G8" s="382" t="s">
        <v>32</v>
      </c>
      <c r="H8" s="382" t="s">
        <v>33</v>
      </c>
      <c r="I8" s="501"/>
      <c r="J8" s="380" t="s">
        <v>32</v>
      </c>
      <c r="K8" s="380" t="s">
        <v>33</v>
      </c>
      <c r="L8" s="380" t="s">
        <v>32</v>
      </c>
      <c r="M8" s="380" t="s">
        <v>33</v>
      </c>
      <c r="N8" s="380" t="s">
        <v>32</v>
      </c>
      <c r="O8" s="380" t="s">
        <v>33</v>
      </c>
      <c r="P8" s="380" t="s">
        <v>32</v>
      </c>
      <c r="Q8" s="380" t="s">
        <v>33</v>
      </c>
      <c r="R8" s="380" t="s">
        <v>32</v>
      </c>
      <c r="S8" s="380" t="s">
        <v>33</v>
      </c>
      <c r="T8" s="380" t="s">
        <v>32</v>
      </c>
      <c r="U8" s="380" t="s">
        <v>33</v>
      </c>
      <c r="V8" s="380" t="s">
        <v>32</v>
      </c>
      <c r="W8" s="380" t="s">
        <v>33</v>
      </c>
      <c r="X8" s="380" t="s">
        <v>32</v>
      </c>
      <c r="Y8" s="380" t="s">
        <v>33</v>
      </c>
      <c r="Z8" s="380" t="s">
        <v>32</v>
      </c>
      <c r="AA8" s="380" t="s">
        <v>33</v>
      </c>
      <c r="AB8" s="380" t="s">
        <v>32</v>
      </c>
      <c r="AC8" s="380" t="s">
        <v>33</v>
      </c>
      <c r="AD8" s="380" t="s">
        <v>32</v>
      </c>
      <c r="AE8" s="380" t="s">
        <v>33</v>
      </c>
      <c r="AF8" s="380" t="s">
        <v>32</v>
      </c>
      <c r="AG8" s="380" t="s">
        <v>33</v>
      </c>
      <c r="AH8" s="380" t="s">
        <v>32</v>
      </c>
      <c r="AI8" s="380" t="s">
        <v>33</v>
      </c>
      <c r="AJ8" s="380" t="s">
        <v>32</v>
      </c>
      <c r="AK8" s="380" t="s">
        <v>33</v>
      </c>
      <c r="AL8" s="380" t="s">
        <v>32</v>
      </c>
      <c r="AM8" s="380" t="s">
        <v>33</v>
      </c>
      <c r="AN8" s="380" t="s">
        <v>32</v>
      </c>
      <c r="AO8" s="380" t="s">
        <v>33</v>
      </c>
      <c r="AP8" s="380" t="s">
        <v>32</v>
      </c>
      <c r="AQ8" s="380" t="s">
        <v>33</v>
      </c>
      <c r="AR8" s="380" t="s">
        <v>32</v>
      </c>
      <c r="AS8" s="380" t="s">
        <v>33</v>
      </c>
      <c r="AT8" s="380" t="s">
        <v>32</v>
      </c>
      <c r="AU8" s="380" t="s">
        <v>33</v>
      </c>
      <c r="AV8" s="380" t="s">
        <v>32</v>
      </c>
      <c r="AW8" s="380" t="s">
        <v>33</v>
      </c>
    </row>
    <row r="9" spans="1:49" s="384" customFormat="1" ht="8.25" customHeight="1">
      <c r="A9" s="383">
        <v>1</v>
      </c>
      <c r="B9" s="383">
        <v>2</v>
      </c>
      <c r="C9" s="383">
        <v>3</v>
      </c>
      <c r="D9" s="383">
        <v>4</v>
      </c>
      <c r="E9" s="383">
        <v>5</v>
      </c>
      <c r="F9" s="383">
        <v>6</v>
      </c>
      <c r="G9" s="383">
        <v>7</v>
      </c>
      <c r="H9" s="383">
        <v>8</v>
      </c>
      <c r="I9" s="383">
        <v>9</v>
      </c>
      <c r="J9" s="383">
        <v>10</v>
      </c>
      <c r="K9" s="383">
        <v>11</v>
      </c>
      <c r="L9" s="383">
        <v>12</v>
      </c>
      <c r="M9" s="383">
        <v>13</v>
      </c>
      <c r="N9" s="383">
        <v>14</v>
      </c>
      <c r="O9" s="383">
        <v>15</v>
      </c>
      <c r="P9" s="383">
        <v>16</v>
      </c>
      <c r="Q9" s="383">
        <v>17</v>
      </c>
      <c r="R9" s="383">
        <v>18</v>
      </c>
      <c r="S9" s="383">
        <v>19</v>
      </c>
      <c r="T9" s="383">
        <v>20</v>
      </c>
      <c r="U9" s="383">
        <v>21</v>
      </c>
      <c r="V9" s="383">
        <v>22</v>
      </c>
      <c r="W9" s="383">
        <v>23</v>
      </c>
      <c r="X9" s="383">
        <v>24</v>
      </c>
      <c r="Y9" s="383">
        <v>25</v>
      </c>
      <c r="Z9" s="383">
        <v>26</v>
      </c>
      <c r="AA9" s="383">
        <v>27</v>
      </c>
      <c r="AB9" s="383">
        <v>28</v>
      </c>
      <c r="AC9" s="383">
        <v>29</v>
      </c>
      <c r="AD9" s="383">
        <v>30</v>
      </c>
      <c r="AE9" s="383">
        <v>31</v>
      </c>
      <c r="AF9" s="383">
        <v>32</v>
      </c>
      <c r="AG9" s="383">
        <v>33</v>
      </c>
      <c r="AH9" s="383">
        <v>34</v>
      </c>
      <c r="AI9" s="383">
        <v>35</v>
      </c>
      <c r="AJ9" s="383">
        <v>36</v>
      </c>
      <c r="AK9" s="383">
        <v>37</v>
      </c>
      <c r="AL9" s="383">
        <v>38</v>
      </c>
      <c r="AM9" s="383">
        <v>39</v>
      </c>
      <c r="AN9" s="383">
        <v>40</v>
      </c>
      <c r="AO9" s="383">
        <v>41</v>
      </c>
      <c r="AP9" s="383">
        <v>42</v>
      </c>
      <c r="AQ9" s="383">
        <v>43</v>
      </c>
      <c r="AR9" s="383">
        <v>44</v>
      </c>
      <c r="AS9" s="383">
        <v>45</v>
      </c>
      <c r="AT9" s="383">
        <v>46</v>
      </c>
      <c r="AU9" s="383">
        <v>47</v>
      </c>
      <c r="AV9" s="383">
        <v>48</v>
      </c>
      <c r="AW9" s="383">
        <v>49</v>
      </c>
    </row>
    <row r="10" spans="1:49" s="392" customFormat="1" ht="12.75" customHeight="1">
      <c r="A10" s="63" t="str">
        <f t="array" ref="A10">IF(C10&lt;&gt;0,SUM(($C10:C$16&lt;&gt;0)*1),"")</f>
        <v/>
      </c>
      <c r="B10" s="385"/>
      <c r="C10" s="386"/>
      <c r="D10" s="385"/>
      <c r="E10" s="387" t="s">
        <v>289</v>
      </c>
      <c r="F10" s="388"/>
      <c r="G10" s="389"/>
      <c r="H10" s="389"/>
      <c r="I10" s="390"/>
      <c r="J10" s="391">
        <f>CDPS!C10</f>
        <v>3024643500</v>
      </c>
      <c r="K10" s="391">
        <f>CDPS!D10</f>
        <v>0</v>
      </c>
      <c r="L10" s="391">
        <f>CDPS!C12</f>
        <v>628500</v>
      </c>
      <c r="M10" s="391">
        <f>CDPS!D12</f>
        <v>0</v>
      </c>
      <c r="N10" s="391">
        <f>CDPS!C14</f>
        <v>0</v>
      </c>
      <c r="O10" s="391">
        <f>CDPS!D14</f>
        <v>0</v>
      </c>
      <c r="P10" s="391">
        <f>CDPS!C16</f>
        <v>0</v>
      </c>
      <c r="Q10" s="391">
        <f>CDPS!D16</f>
        <v>0</v>
      </c>
      <c r="R10" s="391">
        <f>CDPS!C18</f>
        <v>0</v>
      </c>
      <c r="S10" s="391">
        <f>CDPS!D18</f>
        <v>0</v>
      </c>
      <c r="T10" s="391">
        <f>CDPS!C20</f>
        <v>850000000</v>
      </c>
      <c r="U10" s="391">
        <f>CDPS!D20</f>
        <v>0</v>
      </c>
      <c r="V10" s="391">
        <f>CDPS!C21</f>
        <v>0</v>
      </c>
      <c r="W10" s="391">
        <f>CDPS!D21</f>
        <v>0</v>
      </c>
      <c r="X10" s="391">
        <f>CDPS!C22</f>
        <v>0</v>
      </c>
      <c r="Y10" s="391">
        <f>CDPS!D22</f>
        <v>0</v>
      </c>
      <c r="Z10" s="391">
        <f>CDPS!C25</f>
        <v>0</v>
      </c>
      <c r="AA10" s="391">
        <f>CDPS!D25</f>
        <v>0</v>
      </c>
      <c r="AB10" s="391">
        <f>CDPS!C27</f>
        <v>0</v>
      </c>
      <c r="AC10" s="391">
        <f>CDPS!D27</f>
        <v>0</v>
      </c>
      <c r="AD10" s="391">
        <f>CDPS!C29</f>
        <v>0</v>
      </c>
      <c r="AE10" s="391">
        <f>CDPS!D29</f>
        <v>4000000000</v>
      </c>
      <c r="AF10" s="391">
        <f>CDPS!C31</f>
        <v>122686800</v>
      </c>
      <c r="AG10" s="391">
        <f>CDPS!D31</f>
        <v>0</v>
      </c>
      <c r="AH10" s="391">
        <f>CDPS!C32</f>
        <v>2041200</v>
      </c>
      <c r="AI10" s="391">
        <f>CDPS!D32</f>
        <v>0</v>
      </c>
      <c r="AJ10" s="391">
        <f>CDPS!C34</f>
        <v>0</v>
      </c>
      <c r="AK10" s="391">
        <f>CDPS!D34</f>
        <v>0</v>
      </c>
      <c r="AL10" s="391">
        <v>0</v>
      </c>
      <c r="AM10" s="391">
        <v>0</v>
      </c>
      <c r="AN10" s="391">
        <v>0</v>
      </c>
      <c r="AO10" s="391">
        <v>0</v>
      </c>
      <c r="AP10" s="391">
        <v>0</v>
      </c>
      <c r="AQ10" s="391">
        <v>0</v>
      </c>
      <c r="AR10" s="391">
        <v>0</v>
      </c>
      <c r="AS10" s="391">
        <v>0</v>
      </c>
      <c r="AT10" s="391">
        <v>0</v>
      </c>
      <c r="AU10" s="391">
        <v>0</v>
      </c>
      <c r="AV10" s="391">
        <v>0</v>
      </c>
      <c r="AW10" s="391">
        <v>0</v>
      </c>
    </row>
    <row r="11" spans="1:49" s="392" customFormat="1" ht="12.75" customHeight="1">
      <c r="A11" s="63">
        <f t="array" aca="1" ref="A11" ca="1">IF(C11&lt;&gt;0,SUM(($C$11:C11&lt;&gt;0)*1),"")</f>
        <v>1</v>
      </c>
      <c r="B11" s="393">
        <f ca="1">IF(ROWS($1:1)&gt;COUNT(Dong6),"",OFFSET(TH!C$1,SMALL(Dong6,ROWS($1:1)),))</f>
        <v>41641</v>
      </c>
      <c r="C11" s="393" t="str">
        <f ca="1">IF(ROWS($1:1)&gt;COUNT(Dong6),"",OFFSET(TH!D$1,SMALL(Dong6,ROWS($1:1)),))</f>
        <v>C01</v>
      </c>
      <c r="D11" s="393">
        <f ca="1">IF(ROWS($1:1)&gt;COUNT(Dong6),"",OFFSET(TH!E$1,SMALL(Dong6,ROWS($1:1)),))</f>
        <v>41641</v>
      </c>
      <c r="E11" s="443" t="str">
        <f ca="1">IF(ROWS($1:1)&gt;COUNT(Dong6),"",OFFSET(TH!F$1,SMALL(Dong6,ROWS($1:1)),))</f>
        <v>Hoàn trả tiền mượn chuyển khoản</v>
      </c>
      <c r="F11" s="444">
        <f ca="1">IF(ROWS($1:1)&gt;COUNT(Dong6),"",OFFSET(TH!I$1,SMALL(Dong6,ROWS($1:1)),))</f>
        <v>58000000</v>
      </c>
      <c r="G11" s="445" t="str">
        <f ca="1">IF(ROWS($1:1)&gt;COUNT(Dong6),"",OFFSET(TH!J$1,SMALL(Dong6,ROWS($1:1)),))</f>
        <v>3388</v>
      </c>
      <c r="H11" s="445" t="str">
        <f ca="1">IF(ROWS($1:1)&gt;COUNT(Dong6),"",OFFSET(TH!K$1,SMALL(Dong6,ROWS($1:1)),))</f>
        <v>1111</v>
      </c>
      <c r="I11" s="63">
        <f t="shared" ref="I11:I34" ca="1" si="0">A11</f>
        <v>1</v>
      </c>
      <c r="J11" s="395">
        <f t="shared" ref="J11:J63" ca="1" si="1">IF($G11="1111",$F11,0)</f>
        <v>0</v>
      </c>
      <c r="K11" s="395">
        <f t="shared" ref="K11:K63" ca="1" si="2">IF($H11="1111",$F11,0)</f>
        <v>58000000</v>
      </c>
      <c r="L11" s="395">
        <f t="shared" ref="L11:L63" ca="1" si="3">IF($G11="1121",$F11,0)</f>
        <v>0</v>
      </c>
      <c r="M11" s="395">
        <f t="shared" ref="M11:M63" ca="1" si="4">IF($H11="1121",$F11,0)</f>
        <v>0</v>
      </c>
      <c r="N11" s="395">
        <f t="shared" ref="N11:N63" ca="1" si="5">IF($G11="1331",$F11,0)</f>
        <v>0</v>
      </c>
      <c r="O11" s="395">
        <f t="shared" ref="O11:O63" ca="1" si="6">IF($H11="1331",$F11,0)</f>
        <v>0</v>
      </c>
      <c r="P11" s="395">
        <f t="shared" ref="P11:P63" ca="1" si="7">IF($G11="1388",$F11,0)</f>
        <v>0</v>
      </c>
      <c r="Q11" s="395">
        <f t="shared" ref="Q11:Q63" ca="1" si="8">IF($H11="1388",$F11,0)</f>
        <v>0</v>
      </c>
      <c r="R11" s="395">
        <f ca="1">IF($G11="2412",$F11,0)</f>
        <v>0</v>
      </c>
      <c r="S11" s="395">
        <f ca="1">IF($H11="2412",$F11,0)</f>
        <v>0</v>
      </c>
      <c r="T11" s="395">
        <f t="shared" ref="T11:T63" ca="1" si="9">IF($G11="331",$F11,0)</f>
        <v>0</v>
      </c>
      <c r="U11" s="395">
        <f t="shared" ref="U11:U63" ca="1" si="10">IF($H11="331",$F11,0)</f>
        <v>0</v>
      </c>
      <c r="V11" s="395">
        <f t="shared" ref="V11:V63" ca="1" si="11">IF($G11="3334",$F11,0)</f>
        <v>0</v>
      </c>
      <c r="W11" s="395">
        <f t="shared" ref="W11:W63" ca="1" si="12">IF($H11="3334",$F11,0)</f>
        <v>0</v>
      </c>
      <c r="X11" s="395">
        <f t="shared" ref="X11:X63" ca="1" si="13">IF($G11="33382",$F11,0)</f>
        <v>0</v>
      </c>
      <c r="Y11" s="395">
        <f t="shared" ref="Y11:Y63" ca="1" si="14">IF($H11="33382",$F11,0)</f>
        <v>0</v>
      </c>
      <c r="Z11" s="395">
        <f t="shared" ref="Z11:Z63" ca="1" si="15">IF($G11="3388",$F11,0)</f>
        <v>58000000</v>
      </c>
      <c r="AA11" s="395">
        <f t="shared" ref="AA11:AA63" ca="1" si="16">IF($H11="3388",$F11,0)</f>
        <v>0</v>
      </c>
      <c r="AB11" s="395">
        <f t="shared" ref="AB11:AB63" ca="1" si="17">IF($G11="3411",$F11,0)</f>
        <v>0</v>
      </c>
      <c r="AC11" s="395">
        <f t="shared" ref="AC11:AC63" ca="1" si="18">IF($H11="3411",$F11,0)</f>
        <v>0</v>
      </c>
      <c r="AD11" s="395">
        <f t="shared" ref="AD11:AD63" ca="1" si="19">IF($G11="4111",$F11,0)</f>
        <v>0</v>
      </c>
      <c r="AE11" s="395">
        <f t="shared" ref="AE11:AE63" ca="1" si="20">IF($H11="4111",$F11,0)</f>
        <v>0</v>
      </c>
      <c r="AF11" s="395">
        <f t="shared" ref="AF11:AF63" ca="1" si="21">IF($G11="4211",$F11,0)</f>
        <v>0</v>
      </c>
      <c r="AG11" s="395">
        <f t="shared" ref="AG11:AG63" ca="1" si="22">IF($H11="4211",$F11,0)</f>
        <v>0</v>
      </c>
      <c r="AH11" s="395">
        <f t="shared" ref="AH11:AH63" ca="1" si="23">IF($G11="4212",$F11,0)</f>
        <v>0</v>
      </c>
      <c r="AI11" s="395">
        <f t="shared" ref="AI11:AI63" ca="1" si="24">IF($H11="4212",$F11,0)</f>
        <v>0</v>
      </c>
      <c r="AJ11" s="395">
        <f t="shared" ref="AJ11:AJ63" ca="1" si="25">IF($G11="515",$F11,0)</f>
        <v>0</v>
      </c>
      <c r="AK11" s="395">
        <f t="shared" ref="AK11:AK63" ca="1" si="26">IF($H11="515",$F11,0)</f>
        <v>0</v>
      </c>
      <c r="AL11" s="395">
        <f t="shared" ref="AL11:AL63" ca="1" si="27">IF($G11="635",$F11,0)</f>
        <v>0</v>
      </c>
      <c r="AM11" s="395">
        <f t="shared" ref="AM11:AM63" ca="1" si="28">IF($H11="635",$F11,0)</f>
        <v>0</v>
      </c>
      <c r="AN11" s="395">
        <f t="shared" ref="AN11:AN63" ca="1" si="29">IF($G11="642",$F11,0)</f>
        <v>0</v>
      </c>
      <c r="AO11" s="395">
        <f t="shared" ref="AO11:AO63" ca="1" si="30">IF($H11="642",$F11,0)</f>
        <v>0</v>
      </c>
      <c r="AP11" s="395">
        <f t="shared" ref="AP11:AP63" ca="1" si="31">IF($G11="711",$F11,0)</f>
        <v>0</v>
      </c>
      <c r="AQ11" s="395">
        <f t="shared" ref="AQ11:AQ63" ca="1" si="32">IF($H11="711",$F11,0)</f>
        <v>0</v>
      </c>
      <c r="AR11" s="395">
        <f t="shared" ref="AR11:AR63" ca="1" si="33">IF($G11="811",$F11,0)</f>
        <v>0</v>
      </c>
      <c r="AS11" s="395">
        <f t="shared" ref="AS11:AS63" ca="1" si="34">IF($H11="811",$F11,0)</f>
        <v>0</v>
      </c>
      <c r="AT11" s="395">
        <f t="shared" ref="AT11:AT63" ca="1" si="35">IF($G11="821",$F11,0)</f>
        <v>0</v>
      </c>
      <c r="AU11" s="395">
        <f t="shared" ref="AU11:AU63" ca="1" si="36">IF($H11="821",$F11,0)</f>
        <v>0</v>
      </c>
      <c r="AV11" s="395">
        <f t="shared" ref="AV11:AV63" ca="1" si="37">IF($G11="911",$F11,0)</f>
        <v>0</v>
      </c>
      <c r="AW11" s="395">
        <f t="shared" ref="AW11:AW63" ca="1" si="38">IF($H11="911",$F11,0)</f>
        <v>0</v>
      </c>
    </row>
    <row r="12" spans="1:49" s="392" customFormat="1" ht="12.75" customHeight="1">
      <c r="A12" s="63">
        <f t="array" aca="1" ref="A12" ca="1">IF(C12&lt;&gt;0,SUM(($C$11:C12&lt;&gt;0)*1),"")</f>
        <v>2</v>
      </c>
      <c r="B12" s="393">
        <f ca="1">IF(ROWS($1:2)&gt;COUNT(Dong6),"",OFFSET(TH!C$1,SMALL(Dong6,ROWS($1:2)),))</f>
        <v>41641</v>
      </c>
      <c r="C12" s="393" t="str">
        <f ca="1">IF(ROWS($1:2)&gt;COUNT(Dong6),"",OFFSET(TH!D$1,SMALL(Dong6,ROWS($1:2)),))</f>
        <v>GBC</v>
      </c>
      <c r="D12" s="393">
        <f ca="1">IF(ROWS($1:2)&gt;COUNT(Dong6),"",OFFSET(TH!E$1,SMALL(Dong6,ROWS($1:2)),))</f>
        <v>41641</v>
      </c>
      <c r="E12" s="443" t="str">
        <f ca="1">IF(ROWS($1:2)&gt;COUNT(Dong6),"",OFFSET(TH!F$1,SMALL(Dong6,ROWS($1:2)),))</f>
        <v>An Lạc LA- Ứng vốn</v>
      </c>
      <c r="F12" s="444">
        <f ca="1">IF(ROWS($1:2)&gt;COUNT(Dong6),"",OFFSET(TH!I$1,SMALL(Dong6,ROWS($1:2)),))</f>
        <v>58000000</v>
      </c>
      <c r="G12" s="445" t="str">
        <f ca="1">IF(ROWS($1:2)&gt;COUNT(Dong6),"",OFFSET(TH!J$1,SMALL(Dong6,ROWS($1:2)),))</f>
        <v>1121</v>
      </c>
      <c r="H12" s="445" t="str">
        <f ca="1">IF(ROWS($1:2)&gt;COUNT(Dong6),"",OFFSET(TH!K$1,SMALL(Dong6,ROWS($1:2)),))</f>
        <v>3388</v>
      </c>
      <c r="I12" s="63">
        <f t="shared" ca="1" si="0"/>
        <v>2</v>
      </c>
      <c r="J12" s="395">
        <f t="shared" ca="1" si="1"/>
        <v>0</v>
      </c>
      <c r="K12" s="395">
        <f t="shared" ca="1" si="2"/>
        <v>0</v>
      </c>
      <c r="L12" s="395">
        <f t="shared" ca="1" si="3"/>
        <v>58000000</v>
      </c>
      <c r="M12" s="395">
        <f t="shared" ca="1" si="4"/>
        <v>0</v>
      </c>
      <c r="N12" s="395">
        <f t="shared" ca="1" si="5"/>
        <v>0</v>
      </c>
      <c r="O12" s="395">
        <f t="shared" ca="1" si="6"/>
        <v>0</v>
      </c>
      <c r="P12" s="395">
        <f t="shared" ca="1" si="7"/>
        <v>0</v>
      </c>
      <c r="Q12" s="395">
        <f t="shared" ca="1" si="8"/>
        <v>0</v>
      </c>
      <c r="R12" s="395">
        <f t="shared" ref="R12:R63" ca="1" si="39">IF($G12="2412",$F12,0)</f>
        <v>0</v>
      </c>
      <c r="S12" s="395">
        <f t="shared" ref="S12:S63" ca="1" si="40">IF($H12="2412",$F12,0)</f>
        <v>0</v>
      </c>
      <c r="T12" s="395">
        <f t="shared" ca="1" si="9"/>
        <v>0</v>
      </c>
      <c r="U12" s="395">
        <f t="shared" ca="1" si="10"/>
        <v>0</v>
      </c>
      <c r="V12" s="395">
        <f t="shared" ca="1" si="11"/>
        <v>0</v>
      </c>
      <c r="W12" s="395">
        <f t="shared" ca="1" si="12"/>
        <v>0</v>
      </c>
      <c r="X12" s="395">
        <f t="shared" ca="1" si="13"/>
        <v>0</v>
      </c>
      <c r="Y12" s="395">
        <f t="shared" ca="1" si="14"/>
        <v>0</v>
      </c>
      <c r="Z12" s="395">
        <f t="shared" ca="1" si="15"/>
        <v>0</v>
      </c>
      <c r="AA12" s="395">
        <f t="shared" ca="1" si="16"/>
        <v>58000000</v>
      </c>
      <c r="AB12" s="395">
        <f t="shared" ca="1" si="17"/>
        <v>0</v>
      </c>
      <c r="AC12" s="395">
        <f t="shared" ca="1" si="18"/>
        <v>0</v>
      </c>
      <c r="AD12" s="395">
        <f t="shared" ca="1" si="19"/>
        <v>0</v>
      </c>
      <c r="AE12" s="395">
        <f t="shared" ca="1" si="20"/>
        <v>0</v>
      </c>
      <c r="AF12" s="395">
        <f t="shared" ca="1" si="21"/>
        <v>0</v>
      </c>
      <c r="AG12" s="395">
        <f t="shared" ca="1" si="22"/>
        <v>0</v>
      </c>
      <c r="AH12" s="395">
        <f t="shared" ca="1" si="23"/>
        <v>0</v>
      </c>
      <c r="AI12" s="395">
        <f t="shared" ca="1" si="24"/>
        <v>0</v>
      </c>
      <c r="AJ12" s="395">
        <f t="shared" ca="1" si="25"/>
        <v>0</v>
      </c>
      <c r="AK12" s="395">
        <f t="shared" ca="1" si="26"/>
        <v>0</v>
      </c>
      <c r="AL12" s="395">
        <f t="shared" ca="1" si="27"/>
        <v>0</v>
      </c>
      <c r="AM12" s="395">
        <f t="shared" ca="1" si="28"/>
        <v>0</v>
      </c>
      <c r="AN12" s="395">
        <f t="shared" ca="1" si="29"/>
        <v>0</v>
      </c>
      <c r="AO12" s="395">
        <f t="shared" ca="1" si="30"/>
        <v>0</v>
      </c>
      <c r="AP12" s="395">
        <f t="shared" ca="1" si="31"/>
        <v>0</v>
      </c>
      <c r="AQ12" s="395">
        <f t="shared" ca="1" si="32"/>
        <v>0</v>
      </c>
      <c r="AR12" s="395">
        <f t="shared" ca="1" si="33"/>
        <v>0</v>
      </c>
      <c r="AS12" s="395">
        <f t="shared" ca="1" si="34"/>
        <v>0</v>
      </c>
      <c r="AT12" s="395">
        <f t="shared" ca="1" si="35"/>
        <v>0</v>
      </c>
      <c r="AU12" s="395">
        <f t="shared" ca="1" si="36"/>
        <v>0</v>
      </c>
      <c r="AV12" s="395">
        <f t="shared" ca="1" si="37"/>
        <v>0</v>
      </c>
      <c r="AW12" s="395">
        <f t="shared" ca="1" si="38"/>
        <v>0</v>
      </c>
    </row>
    <row r="13" spans="1:49" s="392" customFormat="1" ht="12.75" customHeight="1">
      <c r="A13" s="63">
        <f t="array" aca="1" ref="A13" ca="1">IF(C13&lt;&gt;0,SUM(($C$11:C13&lt;&gt;0)*1),"")</f>
        <v>3</v>
      </c>
      <c r="B13" s="393">
        <f ca="1">IF(ROWS($1:3)&gt;COUNT(Dong6),"",OFFSET(TH!C$1,SMALL(Dong6,ROWS($1:3)),))</f>
        <v>41641</v>
      </c>
      <c r="C13" s="393" t="str">
        <f ca="1">IF(ROWS($1:3)&gt;COUNT(Dong6),"",OFFSET(TH!D$1,SMALL(Dong6,ROWS($1:3)),))</f>
        <v>GBN</v>
      </c>
      <c r="D13" s="393">
        <f ca="1">IF(ROWS($1:3)&gt;COUNT(Dong6),"",OFFSET(TH!E$1,SMALL(Dong6,ROWS($1:3)),))</f>
        <v>41641</v>
      </c>
      <c r="E13" s="443" t="str">
        <f ca="1">IF(ROWS($1:3)&gt;COUNT(Dong6),"",OFFSET(TH!F$1,SMALL(Dong6,ROWS($1:3)),))</f>
        <v>Tạm ứng tiền XD CSHT - Công  Nghệ Môi Trường CMD</v>
      </c>
      <c r="F13" s="444">
        <f ca="1">IF(ROWS($1:3)&gt;COUNT(Dong6),"",OFFSET(TH!I$1,SMALL(Dong6,ROWS($1:3)),))</f>
        <v>27500000</v>
      </c>
      <c r="G13" s="445" t="str">
        <f ca="1">IF(ROWS($1:3)&gt;COUNT(Dong6),"",OFFSET(TH!J$1,SMALL(Dong6,ROWS($1:3)),))</f>
        <v>331</v>
      </c>
      <c r="H13" s="445" t="str">
        <f ca="1">IF(ROWS($1:3)&gt;COUNT(Dong6),"",OFFSET(TH!K$1,SMALL(Dong6,ROWS($1:3)),))</f>
        <v>1121</v>
      </c>
      <c r="I13" s="63">
        <f t="shared" ca="1" si="0"/>
        <v>3</v>
      </c>
      <c r="J13" s="395">
        <f t="shared" ca="1" si="1"/>
        <v>0</v>
      </c>
      <c r="K13" s="395">
        <f t="shared" ca="1" si="2"/>
        <v>0</v>
      </c>
      <c r="L13" s="395">
        <f t="shared" ca="1" si="3"/>
        <v>0</v>
      </c>
      <c r="M13" s="395">
        <f t="shared" ca="1" si="4"/>
        <v>27500000</v>
      </c>
      <c r="N13" s="395">
        <f t="shared" ca="1" si="5"/>
        <v>0</v>
      </c>
      <c r="O13" s="395">
        <f t="shared" ca="1" si="6"/>
        <v>0</v>
      </c>
      <c r="P13" s="395">
        <f t="shared" ca="1" si="7"/>
        <v>0</v>
      </c>
      <c r="Q13" s="395">
        <f t="shared" ca="1" si="8"/>
        <v>0</v>
      </c>
      <c r="R13" s="395">
        <f t="shared" ca="1" si="39"/>
        <v>0</v>
      </c>
      <c r="S13" s="395">
        <f t="shared" ca="1" si="40"/>
        <v>0</v>
      </c>
      <c r="T13" s="395">
        <f t="shared" ca="1" si="9"/>
        <v>27500000</v>
      </c>
      <c r="U13" s="395">
        <f t="shared" ca="1" si="10"/>
        <v>0</v>
      </c>
      <c r="V13" s="395">
        <f t="shared" ca="1" si="11"/>
        <v>0</v>
      </c>
      <c r="W13" s="395">
        <f t="shared" ca="1" si="12"/>
        <v>0</v>
      </c>
      <c r="X13" s="395">
        <f t="shared" ca="1" si="13"/>
        <v>0</v>
      </c>
      <c r="Y13" s="395">
        <f t="shared" ca="1" si="14"/>
        <v>0</v>
      </c>
      <c r="Z13" s="395">
        <f t="shared" ca="1" si="15"/>
        <v>0</v>
      </c>
      <c r="AA13" s="395">
        <f t="shared" ca="1" si="16"/>
        <v>0</v>
      </c>
      <c r="AB13" s="395">
        <f t="shared" ca="1" si="17"/>
        <v>0</v>
      </c>
      <c r="AC13" s="395">
        <f t="shared" ca="1" si="18"/>
        <v>0</v>
      </c>
      <c r="AD13" s="395">
        <f t="shared" ca="1" si="19"/>
        <v>0</v>
      </c>
      <c r="AE13" s="395">
        <f t="shared" ca="1" si="20"/>
        <v>0</v>
      </c>
      <c r="AF13" s="395">
        <f t="shared" ca="1" si="21"/>
        <v>0</v>
      </c>
      <c r="AG13" s="395">
        <f t="shared" ca="1" si="22"/>
        <v>0</v>
      </c>
      <c r="AH13" s="395">
        <f t="shared" ca="1" si="23"/>
        <v>0</v>
      </c>
      <c r="AI13" s="395">
        <f t="shared" ca="1" si="24"/>
        <v>0</v>
      </c>
      <c r="AJ13" s="395">
        <f t="shared" ca="1" si="25"/>
        <v>0</v>
      </c>
      <c r="AK13" s="395">
        <f t="shared" ca="1" si="26"/>
        <v>0</v>
      </c>
      <c r="AL13" s="395">
        <f t="shared" ca="1" si="27"/>
        <v>0</v>
      </c>
      <c r="AM13" s="395">
        <f t="shared" ca="1" si="28"/>
        <v>0</v>
      </c>
      <c r="AN13" s="395">
        <f t="shared" ca="1" si="29"/>
        <v>0</v>
      </c>
      <c r="AO13" s="395">
        <f t="shared" ca="1" si="30"/>
        <v>0</v>
      </c>
      <c r="AP13" s="395">
        <f t="shared" ca="1" si="31"/>
        <v>0</v>
      </c>
      <c r="AQ13" s="395">
        <f t="shared" ca="1" si="32"/>
        <v>0</v>
      </c>
      <c r="AR13" s="395">
        <f t="shared" ca="1" si="33"/>
        <v>0</v>
      </c>
      <c r="AS13" s="395">
        <f t="shared" ca="1" si="34"/>
        <v>0</v>
      </c>
      <c r="AT13" s="395">
        <f t="shared" ca="1" si="35"/>
        <v>0</v>
      </c>
      <c r="AU13" s="395">
        <f t="shared" ca="1" si="36"/>
        <v>0</v>
      </c>
      <c r="AV13" s="395">
        <f t="shared" ca="1" si="37"/>
        <v>0</v>
      </c>
      <c r="AW13" s="395">
        <f t="shared" ca="1" si="38"/>
        <v>0</v>
      </c>
    </row>
    <row r="14" spans="1:49" s="392" customFormat="1" ht="12.75" customHeight="1">
      <c r="A14" s="63">
        <f t="array" aca="1" ref="A14" ca="1">IF(C14&lt;&gt;0,SUM(($C$11:C14&lt;&gt;0)*1),"")</f>
        <v>4</v>
      </c>
      <c r="B14" s="393">
        <f ca="1">IF(ROWS($1:4)&gt;COUNT(Dong6),"",OFFSET(TH!C$1,SMALL(Dong6,ROWS($1:4)),))</f>
        <v>41641</v>
      </c>
      <c r="C14" s="393" t="str">
        <f ca="1">IF(ROWS($1:4)&gt;COUNT(Dong6),"",OFFSET(TH!D$1,SMALL(Dong6,ROWS($1:4)),))</f>
        <v>GBN</v>
      </c>
      <c r="D14" s="393">
        <f ca="1">IF(ROWS($1:4)&gt;COUNT(Dong6),"",OFFSET(TH!E$1,SMALL(Dong6,ROWS($1:4)),))</f>
        <v>41641</v>
      </c>
      <c r="E14" s="443" t="str">
        <f ca="1">IF(ROWS($1:4)&gt;COUNT(Dong6),"",OFFSET(TH!F$1,SMALL(Dong6,ROWS($1:4)),))</f>
        <v xml:space="preserve">Phí chuyển tiền </v>
      </c>
      <c r="F14" s="444">
        <f ca="1">IF(ROWS($1:4)&gt;COUNT(Dong6),"",OFFSET(TH!I$1,SMALL(Dong6,ROWS($1:4)),))</f>
        <v>20000</v>
      </c>
      <c r="G14" s="445" t="str">
        <f ca="1">IF(ROWS($1:4)&gt;COUNT(Dong6),"",OFFSET(TH!J$1,SMALL(Dong6,ROWS($1:4)),))</f>
        <v>642</v>
      </c>
      <c r="H14" s="445" t="str">
        <f ca="1">IF(ROWS($1:4)&gt;COUNT(Dong6),"",OFFSET(TH!K$1,SMALL(Dong6,ROWS($1:4)),))</f>
        <v>1121</v>
      </c>
      <c r="I14" s="63">
        <f t="shared" ca="1" si="0"/>
        <v>4</v>
      </c>
      <c r="J14" s="395">
        <f t="shared" ca="1" si="1"/>
        <v>0</v>
      </c>
      <c r="K14" s="395">
        <f t="shared" ca="1" si="2"/>
        <v>0</v>
      </c>
      <c r="L14" s="395">
        <f t="shared" ca="1" si="3"/>
        <v>0</v>
      </c>
      <c r="M14" s="395">
        <f t="shared" ca="1" si="4"/>
        <v>20000</v>
      </c>
      <c r="N14" s="395">
        <f t="shared" ca="1" si="5"/>
        <v>0</v>
      </c>
      <c r="O14" s="395">
        <f t="shared" ca="1" si="6"/>
        <v>0</v>
      </c>
      <c r="P14" s="395">
        <f t="shared" ca="1" si="7"/>
        <v>0</v>
      </c>
      <c r="Q14" s="395">
        <f t="shared" ca="1" si="8"/>
        <v>0</v>
      </c>
      <c r="R14" s="395">
        <f t="shared" ca="1" si="39"/>
        <v>0</v>
      </c>
      <c r="S14" s="395">
        <f t="shared" ca="1" si="40"/>
        <v>0</v>
      </c>
      <c r="T14" s="395">
        <f t="shared" ca="1" si="9"/>
        <v>0</v>
      </c>
      <c r="U14" s="395">
        <f t="shared" ca="1" si="10"/>
        <v>0</v>
      </c>
      <c r="V14" s="395">
        <f t="shared" ca="1" si="11"/>
        <v>0</v>
      </c>
      <c r="W14" s="395">
        <f t="shared" ca="1" si="12"/>
        <v>0</v>
      </c>
      <c r="X14" s="395">
        <f t="shared" ca="1" si="13"/>
        <v>0</v>
      </c>
      <c r="Y14" s="395">
        <f t="shared" ca="1" si="14"/>
        <v>0</v>
      </c>
      <c r="Z14" s="395">
        <f t="shared" ca="1" si="15"/>
        <v>0</v>
      </c>
      <c r="AA14" s="395">
        <f t="shared" ca="1" si="16"/>
        <v>0</v>
      </c>
      <c r="AB14" s="395">
        <f t="shared" ca="1" si="17"/>
        <v>0</v>
      </c>
      <c r="AC14" s="395">
        <f t="shared" ca="1" si="18"/>
        <v>0</v>
      </c>
      <c r="AD14" s="395">
        <f t="shared" ca="1" si="19"/>
        <v>0</v>
      </c>
      <c r="AE14" s="395">
        <f t="shared" ca="1" si="20"/>
        <v>0</v>
      </c>
      <c r="AF14" s="395">
        <f t="shared" ca="1" si="21"/>
        <v>0</v>
      </c>
      <c r="AG14" s="395">
        <f t="shared" ca="1" si="22"/>
        <v>0</v>
      </c>
      <c r="AH14" s="395">
        <f t="shared" ca="1" si="23"/>
        <v>0</v>
      </c>
      <c r="AI14" s="395">
        <f t="shared" ca="1" si="24"/>
        <v>0</v>
      </c>
      <c r="AJ14" s="395">
        <f t="shared" ca="1" si="25"/>
        <v>0</v>
      </c>
      <c r="AK14" s="395">
        <f t="shared" ca="1" si="26"/>
        <v>0</v>
      </c>
      <c r="AL14" s="395">
        <f t="shared" ca="1" si="27"/>
        <v>0</v>
      </c>
      <c r="AM14" s="395">
        <f t="shared" ca="1" si="28"/>
        <v>0</v>
      </c>
      <c r="AN14" s="395">
        <f t="shared" ca="1" si="29"/>
        <v>20000</v>
      </c>
      <c r="AO14" s="395">
        <f t="shared" ca="1" si="30"/>
        <v>0</v>
      </c>
      <c r="AP14" s="395">
        <f t="shared" ca="1" si="31"/>
        <v>0</v>
      </c>
      <c r="AQ14" s="395">
        <f t="shared" ca="1" si="32"/>
        <v>0</v>
      </c>
      <c r="AR14" s="395">
        <f t="shared" ca="1" si="33"/>
        <v>0</v>
      </c>
      <c r="AS14" s="395">
        <f t="shared" ca="1" si="34"/>
        <v>0</v>
      </c>
      <c r="AT14" s="395">
        <f t="shared" ca="1" si="35"/>
        <v>0</v>
      </c>
      <c r="AU14" s="395">
        <f t="shared" ca="1" si="36"/>
        <v>0</v>
      </c>
      <c r="AV14" s="395">
        <f t="shared" ca="1" si="37"/>
        <v>0</v>
      </c>
      <c r="AW14" s="395">
        <f t="shared" ca="1" si="38"/>
        <v>0</v>
      </c>
    </row>
    <row r="15" spans="1:49" s="392" customFormat="1" ht="12.75" customHeight="1">
      <c r="A15" s="63">
        <f t="array" aca="1" ref="A15" ca="1">IF(C15&lt;&gt;0,SUM(($C$11:C15&lt;&gt;0)*1),"")</f>
        <v>5</v>
      </c>
      <c r="B15" s="393">
        <f ca="1">IF(ROWS($1:5)&gt;COUNT(Dong6),"",OFFSET(TH!C$1,SMALL(Dong6,ROWS($1:5)),))</f>
        <v>41641</v>
      </c>
      <c r="C15" s="393" t="str">
        <f ca="1">IF(ROWS($1:5)&gt;COUNT(Dong6),"",OFFSET(TH!D$1,SMALL(Dong6,ROWS($1:5)),))</f>
        <v>GBN</v>
      </c>
      <c r="D15" s="393">
        <f ca="1">IF(ROWS($1:5)&gt;COUNT(Dong6),"",OFFSET(TH!E$1,SMALL(Dong6,ROWS($1:5)),))</f>
        <v>41641</v>
      </c>
      <c r="E15" s="443" t="str">
        <f ca="1">IF(ROWS($1:5)&gt;COUNT(Dong6),"",OFFSET(TH!F$1,SMALL(Dong6,ROWS($1:5)),))</f>
        <v xml:space="preserve">VAT Phí chuyển tiền </v>
      </c>
      <c r="F15" s="444">
        <f ca="1">IF(ROWS($1:5)&gt;COUNT(Dong6),"",OFFSET(TH!I$1,SMALL(Dong6,ROWS($1:5)),))</f>
        <v>2000</v>
      </c>
      <c r="G15" s="445" t="str">
        <f ca="1">IF(ROWS($1:5)&gt;COUNT(Dong6),"",OFFSET(TH!J$1,SMALL(Dong6,ROWS($1:5)),))</f>
        <v>1331</v>
      </c>
      <c r="H15" s="445" t="str">
        <f ca="1">IF(ROWS($1:5)&gt;COUNT(Dong6),"",OFFSET(TH!K$1,SMALL(Dong6,ROWS($1:5)),))</f>
        <v>1121</v>
      </c>
      <c r="I15" s="63">
        <f t="shared" ca="1" si="0"/>
        <v>5</v>
      </c>
      <c r="J15" s="395">
        <f t="shared" ca="1" si="1"/>
        <v>0</v>
      </c>
      <c r="K15" s="395">
        <f t="shared" ca="1" si="2"/>
        <v>0</v>
      </c>
      <c r="L15" s="395">
        <f t="shared" ca="1" si="3"/>
        <v>0</v>
      </c>
      <c r="M15" s="395">
        <f t="shared" ca="1" si="4"/>
        <v>2000</v>
      </c>
      <c r="N15" s="395">
        <f t="shared" ca="1" si="5"/>
        <v>2000</v>
      </c>
      <c r="O15" s="395">
        <f t="shared" ca="1" si="6"/>
        <v>0</v>
      </c>
      <c r="P15" s="395">
        <f t="shared" ca="1" si="7"/>
        <v>0</v>
      </c>
      <c r="Q15" s="395">
        <f t="shared" ca="1" si="8"/>
        <v>0</v>
      </c>
      <c r="R15" s="395">
        <f t="shared" ca="1" si="39"/>
        <v>0</v>
      </c>
      <c r="S15" s="395">
        <f t="shared" ca="1" si="40"/>
        <v>0</v>
      </c>
      <c r="T15" s="395">
        <f t="shared" ca="1" si="9"/>
        <v>0</v>
      </c>
      <c r="U15" s="395">
        <f t="shared" ca="1" si="10"/>
        <v>0</v>
      </c>
      <c r="V15" s="395">
        <f t="shared" ca="1" si="11"/>
        <v>0</v>
      </c>
      <c r="W15" s="395">
        <f t="shared" ca="1" si="12"/>
        <v>0</v>
      </c>
      <c r="X15" s="395">
        <f t="shared" ca="1" si="13"/>
        <v>0</v>
      </c>
      <c r="Y15" s="395">
        <f t="shared" ca="1" si="14"/>
        <v>0</v>
      </c>
      <c r="Z15" s="395">
        <f t="shared" ca="1" si="15"/>
        <v>0</v>
      </c>
      <c r="AA15" s="395">
        <f t="shared" ca="1" si="16"/>
        <v>0</v>
      </c>
      <c r="AB15" s="395">
        <f t="shared" ca="1" si="17"/>
        <v>0</v>
      </c>
      <c r="AC15" s="395">
        <f t="shared" ca="1" si="18"/>
        <v>0</v>
      </c>
      <c r="AD15" s="395">
        <f t="shared" ca="1" si="19"/>
        <v>0</v>
      </c>
      <c r="AE15" s="395">
        <f t="shared" ca="1" si="20"/>
        <v>0</v>
      </c>
      <c r="AF15" s="395">
        <f t="shared" ca="1" si="21"/>
        <v>0</v>
      </c>
      <c r="AG15" s="395">
        <f t="shared" ca="1" si="22"/>
        <v>0</v>
      </c>
      <c r="AH15" s="395">
        <f t="shared" ca="1" si="23"/>
        <v>0</v>
      </c>
      <c r="AI15" s="395">
        <f t="shared" ca="1" si="24"/>
        <v>0</v>
      </c>
      <c r="AJ15" s="395">
        <f t="shared" ca="1" si="25"/>
        <v>0</v>
      </c>
      <c r="AK15" s="395">
        <f t="shared" ca="1" si="26"/>
        <v>0</v>
      </c>
      <c r="AL15" s="395">
        <f t="shared" ca="1" si="27"/>
        <v>0</v>
      </c>
      <c r="AM15" s="395">
        <f t="shared" ca="1" si="28"/>
        <v>0</v>
      </c>
      <c r="AN15" s="395">
        <f t="shared" ca="1" si="29"/>
        <v>0</v>
      </c>
      <c r="AO15" s="395">
        <f t="shared" ca="1" si="30"/>
        <v>0</v>
      </c>
      <c r="AP15" s="395">
        <f t="shared" ca="1" si="31"/>
        <v>0</v>
      </c>
      <c r="AQ15" s="395">
        <f t="shared" ca="1" si="32"/>
        <v>0</v>
      </c>
      <c r="AR15" s="395">
        <f t="shared" ca="1" si="33"/>
        <v>0</v>
      </c>
      <c r="AS15" s="395">
        <f t="shared" ca="1" si="34"/>
        <v>0</v>
      </c>
      <c r="AT15" s="395">
        <f t="shared" ca="1" si="35"/>
        <v>0</v>
      </c>
      <c r="AU15" s="395">
        <f t="shared" ca="1" si="36"/>
        <v>0</v>
      </c>
      <c r="AV15" s="395">
        <f t="shared" ca="1" si="37"/>
        <v>0</v>
      </c>
      <c r="AW15" s="395">
        <f t="shared" ca="1" si="38"/>
        <v>0</v>
      </c>
    </row>
    <row r="16" spans="1:49" s="392" customFormat="1" ht="12.75" customHeight="1">
      <c r="A16" s="63">
        <f t="array" aca="1" ref="A16" ca="1">IF(C16&lt;&gt;0,SUM(($C$11:C16&lt;&gt;0)*1),"")</f>
        <v>6</v>
      </c>
      <c r="B16" s="393">
        <f ca="1">IF(ROWS($1:6)&gt;COUNT(Dong6),"",OFFSET(TH!C$1,SMALL(Dong6,ROWS($1:6)),))</f>
        <v>41641</v>
      </c>
      <c r="C16" s="393" t="str">
        <f ca="1">IF(ROWS($1:6)&gt;COUNT(Dong6),"",OFFSET(TH!D$1,SMALL(Dong6,ROWS($1:6)),))</f>
        <v>GBN</v>
      </c>
      <c r="D16" s="393">
        <f ca="1">IF(ROWS($1:6)&gt;COUNT(Dong6),"",OFFSET(TH!E$1,SMALL(Dong6,ROWS($1:6)),))</f>
        <v>41641</v>
      </c>
      <c r="E16" s="443" t="str">
        <f ca="1">IF(ROWS($1:6)&gt;COUNT(Dong6),"",OFFSET(TH!F$1,SMALL(Dong6,ROWS($1:6)),))</f>
        <v>Thanh toán CSHT - KCN Long Đức</v>
      </c>
      <c r="F16" s="444">
        <f ca="1">IF(ROWS($1:6)&gt;COUNT(Dong6),"",OFFSET(TH!I$1,SMALL(Dong6,ROWS($1:6)),))</f>
        <v>29920000</v>
      </c>
      <c r="G16" s="445" t="str">
        <f ca="1">IF(ROWS($1:6)&gt;COUNT(Dong6),"",OFFSET(TH!J$1,SMALL(Dong6,ROWS($1:6)),))</f>
        <v>331</v>
      </c>
      <c r="H16" s="445" t="str">
        <f ca="1">IF(ROWS($1:6)&gt;COUNT(Dong6),"",OFFSET(TH!K$1,SMALL(Dong6,ROWS($1:6)),))</f>
        <v>1121</v>
      </c>
      <c r="I16" s="63">
        <f t="shared" ca="1" si="0"/>
        <v>6</v>
      </c>
      <c r="J16" s="395">
        <f t="shared" ca="1" si="1"/>
        <v>0</v>
      </c>
      <c r="K16" s="395">
        <f t="shared" ca="1" si="2"/>
        <v>0</v>
      </c>
      <c r="L16" s="395">
        <f t="shared" ca="1" si="3"/>
        <v>0</v>
      </c>
      <c r="M16" s="395">
        <f t="shared" ca="1" si="4"/>
        <v>29920000</v>
      </c>
      <c r="N16" s="395">
        <f t="shared" ca="1" si="5"/>
        <v>0</v>
      </c>
      <c r="O16" s="395">
        <f t="shared" ca="1" si="6"/>
        <v>0</v>
      </c>
      <c r="P16" s="395">
        <f t="shared" ca="1" si="7"/>
        <v>0</v>
      </c>
      <c r="Q16" s="395">
        <f t="shared" ca="1" si="8"/>
        <v>0</v>
      </c>
      <c r="R16" s="395">
        <f t="shared" ca="1" si="39"/>
        <v>0</v>
      </c>
      <c r="S16" s="395">
        <f t="shared" ca="1" si="40"/>
        <v>0</v>
      </c>
      <c r="T16" s="395">
        <f t="shared" ca="1" si="9"/>
        <v>29920000</v>
      </c>
      <c r="U16" s="395">
        <f t="shared" ca="1" si="10"/>
        <v>0</v>
      </c>
      <c r="V16" s="395">
        <f t="shared" ca="1" si="11"/>
        <v>0</v>
      </c>
      <c r="W16" s="395">
        <f t="shared" ca="1" si="12"/>
        <v>0</v>
      </c>
      <c r="X16" s="395">
        <f t="shared" ca="1" si="13"/>
        <v>0</v>
      </c>
      <c r="Y16" s="395">
        <f t="shared" ca="1" si="14"/>
        <v>0</v>
      </c>
      <c r="Z16" s="395">
        <f t="shared" ca="1" si="15"/>
        <v>0</v>
      </c>
      <c r="AA16" s="395">
        <f t="shared" ca="1" si="16"/>
        <v>0</v>
      </c>
      <c r="AB16" s="395">
        <f t="shared" ca="1" si="17"/>
        <v>0</v>
      </c>
      <c r="AC16" s="395">
        <f t="shared" ca="1" si="18"/>
        <v>0</v>
      </c>
      <c r="AD16" s="395">
        <f t="shared" ca="1" si="19"/>
        <v>0</v>
      </c>
      <c r="AE16" s="395">
        <f t="shared" ca="1" si="20"/>
        <v>0</v>
      </c>
      <c r="AF16" s="395">
        <f t="shared" ca="1" si="21"/>
        <v>0</v>
      </c>
      <c r="AG16" s="395">
        <f t="shared" ca="1" si="22"/>
        <v>0</v>
      </c>
      <c r="AH16" s="395">
        <f t="shared" ca="1" si="23"/>
        <v>0</v>
      </c>
      <c r="AI16" s="395">
        <f t="shared" ca="1" si="24"/>
        <v>0</v>
      </c>
      <c r="AJ16" s="395">
        <f t="shared" ca="1" si="25"/>
        <v>0</v>
      </c>
      <c r="AK16" s="395">
        <f t="shared" ca="1" si="26"/>
        <v>0</v>
      </c>
      <c r="AL16" s="395">
        <f t="shared" ca="1" si="27"/>
        <v>0</v>
      </c>
      <c r="AM16" s="395">
        <f t="shared" ca="1" si="28"/>
        <v>0</v>
      </c>
      <c r="AN16" s="395">
        <f t="shared" ca="1" si="29"/>
        <v>0</v>
      </c>
      <c r="AO16" s="395">
        <f t="shared" ca="1" si="30"/>
        <v>0</v>
      </c>
      <c r="AP16" s="395">
        <f t="shared" ca="1" si="31"/>
        <v>0</v>
      </c>
      <c r="AQ16" s="395">
        <f t="shared" ca="1" si="32"/>
        <v>0</v>
      </c>
      <c r="AR16" s="395">
        <f t="shared" ca="1" si="33"/>
        <v>0</v>
      </c>
      <c r="AS16" s="395">
        <f t="shared" ca="1" si="34"/>
        <v>0</v>
      </c>
      <c r="AT16" s="395">
        <f t="shared" ca="1" si="35"/>
        <v>0</v>
      </c>
      <c r="AU16" s="395">
        <f t="shared" ca="1" si="36"/>
        <v>0</v>
      </c>
      <c r="AV16" s="395">
        <f t="shared" ca="1" si="37"/>
        <v>0</v>
      </c>
      <c r="AW16" s="395">
        <f t="shared" ca="1" si="38"/>
        <v>0</v>
      </c>
    </row>
    <row r="17" spans="1:49" s="392" customFormat="1" ht="12.75" customHeight="1">
      <c r="A17" s="63">
        <f t="array" aca="1" ref="A17" ca="1">IF(C17&lt;&gt;0,SUM(($C$11:C17&lt;&gt;0)*1),"")</f>
        <v>7</v>
      </c>
      <c r="B17" s="393">
        <f ca="1">IF(ROWS($1:7)&gt;COUNT(Dong6),"",OFFSET(TH!C$1,SMALL(Dong6,ROWS($1:7)),))</f>
        <v>41641</v>
      </c>
      <c r="C17" s="393" t="str">
        <f ca="1">IF(ROWS($1:7)&gt;COUNT(Dong6),"",OFFSET(TH!D$1,SMALL(Dong6,ROWS($1:7)),))</f>
        <v>GBN</v>
      </c>
      <c r="D17" s="393">
        <f ca="1">IF(ROWS($1:7)&gt;COUNT(Dong6),"",OFFSET(TH!E$1,SMALL(Dong6,ROWS($1:7)),))</f>
        <v>41641</v>
      </c>
      <c r="E17" s="443" t="str">
        <f ca="1">IF(ROWS($1:7)&gt;COUNT(Dong6),"",OFFSET(TH!F$1,SMALL(Dong6,ROWS($1:7)),))</f>
        <v xml:space="preserve">Phí chuyển tiền </v>
      </c>
      <c r="F17" s="444">
        <f ca="1">IF(ROWS($1:7)&gt;COUNT(Dong6),"",OFFSET(TH!I$1,SMALL(Dong6,ROWS($1:7)),))</f>
        <v>20000</v>
      </c>
      <c r="G17" s="445" t="str">
        <f ca="1">IF(ROWS($1:7)&gt;COUNT(Dong6),"",OFFSET(TH!J$1,SMALL(Dong6,ROWS($1:7)),))</f>
        <v>642</v>
      </c>
      <c r="H17" s="445" t="str">
        <f ca="1">IF(ROWS($1:7)&gt;COUNT(Dong6),"",OFFSET(TH!K$1,SMALL(Dong6,ROWS($1:7)),))</f>
        <v>1121</v>
      </c>
      <c r="I17" s="63">
        <f t="shared" ca="1" si="0"/>
        <v>7</v>
      </c>
      <c r="J17" s="395">
        <f t="shared" ca="1" si="1"/>
        <v>0</v>
      </c>
      <c r="K17" s="395">
        <f t="shared" ca="1" si="2"/>
        <v>0</v>
      </c>
      <c r="L17" s="395">
        <f t="shared" ca="1" si="3"/>
        <v>0</v>
      </c>
      <c r="M17" s="395">
        <f t="shared" ca="1" si="4"/>
        <v>20000</v>
      </c>
      <c r="N17" s="395">
        <f t="shared" ca="1" si="5"/>
        <v>0</v>
      </c>
      <c r="O17" s="395">
        <f t="shared" ca="1" si="6"/>
        <v>0</v>
      </c>
      <c r="P17" s="395">
        <f t="shared" ca="1" si="7"/>
        <v>0</v>
      </c>
      <c r="Q17" s="395">
        <f t="shared" ca="1" si="8"/>
        <v>0</v>
      </c>
      <c r="R17" s="395">
        <f t="shared" ca="1" si="39"/>
        <v>0</v>
      </c>
      <c r="S17" s="395">
        <f t="shared" ca="1" si="40"/>
        <v>0</v>
      </c>
      <c r="T17" s="395">
        <f t="shared" ca="1" si="9"/>
        <v>0</v>
      </c>
      <c r="U17" s="395">
        <f t="shared" ca="1" si="10"/>
        <v>0</v>
      </c>
      <c r="V17" s="395">
        <f t="shared" ca="1" si="11"/>
        <v>0</v>
      </c>
      <c r="W17" s="395">
        <f t="shared" ca="1" si="12"/>
        <v>0</v>
      </c>
      <c r="X17" s="395">
        <f t="shared" ca="1" si="13"/>
        <v>0</v>
      </c>
      <c r="Y17" s="395">
        <f t="shared" ca="1" si="14"/>
        <v>0</v>
      </c>
      <c r="Z17" s="395">
        <f t="shared" ca="1" si="15"/>
        <v>0</v>
      </c>
      <c r="AA17" s="395">
        <f t="shared" ca="1" si="16"/>
        <v>0</v>
      </c>
      <c r="AB17" s="395">
        <f t="shared" ca="1" si="17"/>
        <v>0</v>
      </c>
      <c r="AC17" s="395">
        <f t="shared" ca="1" si="18"/>
        <v>0</v>
      </c>
      <c r="AD17" s="395">
        <f t="shared" ca="1" si="19"/>
        <v>0</v>
      </c>
      <c r="AE17" s="395">
        <f t="shared" ca="1" si="20"/>
        <v>0</v>
      </c>
      <c r="AF17" s="395">
        <f t="shared" ca="1" si="21"/>
        <v>0</v>
      </c>
      <c r="AG17" s="395">
        <f t="shared" ca="1" si="22"/>
        <v>0</v>
      </c>
      <c r="AH17" s="395">
        <f t="shared" ca="1" si="23"/>
        <v>0</v>
      </c>
      <c r="AI17" s="395">
        <f t="shared" ca="1" si="24"/>
        <v>0</v>
      </c>
      <c r="AJ17" s="395">
        <f t="shared" ca="1" si="25"/>
        <v>0</v>
      </c>
      <c r="AK17" s="395">
        <f t="shared" ca="1" si="26"/>
        <v>0</v>
      </c>
      <c r="AL17" s="395">
        <f t="shared" ca="1" si="27"/>
        <v>0</v>
      </c>
      <c r="AM17" s="395">
        <f t="shared" ca="1" si="28"/>
        <v>0</v>
      </c>
      <c r="AN17" s="395">
        <f t="shared" ca="1" si="29"/>
        <v>20000</v>
      </c>
      <c r="AO17" s="395">
        <f t="shared" ca="1" si="30"/>
        <v>0</v>
      </c>
      <c r="AP17" s="395">
        <f t="shared" ca="1" si="31"/>
        <v>0</v>
      </c>
      <c r="AQ17" s="395">
        <f t="shared" ca="1" si="32"/>
        <v>0</v>
      </c>
      <c r="AR17" s="395">
        <f t="shared" ca="1" si="33"/>
        <v>0</v>
      </c>
      <c r="AS17" s="395">
        <f t="shared" ca="1" si="34"/>
        <v>0</v>
      </c>
      <c r="AT17" s="395">
        <f t="shared" ca="1" si="35"/>
        <v>0</v>
      </c>
      <c r="AU17" s="395">
        <f t="shared" ca="1" si="36"/>
        <v>0</v>
      </c>
      <c r="AV17" s="395">
        <f t="shared" ca="1" si="37"/>
        <v>0</v>
      </c>
      <c r="AW17" s="395">
        <f t="shared" ca="1" si="38"/>
        <v>0</v>
      </c>
    </row>
    <row r="18" spans="1:49" s="392" customFormat="1" ht="12.75" customHeight="1">
      <c r="A18" s="63">
        <f t="array" aca="1" ref="A18" ca="1">IF(C18&lt;&gt;0,SUM(($C$11:C18&lt;&gt;0)*1),"")</f>
        <v>8</v>
      </c>
      <c r="B18" s="393">
        <f ca="1">IF(ROWS($1:8)&gt;COUNT(Dong6),"",OFFSET(TH!C$1,SMALL(Dong6,ROWS($1:8)),))</f>
        <v>41641</v>
      </c>
      <c r="C18" s="393" t="str">
        <f ca="1">IF(ROWS($1:8)&gt;COUNT(Dong6),"",OFFSET(TH!D$1,SMALL(Dong6,ROWS($1:8)),))</f>
        <v>GBN</v>
      </c>
      <c r="D18" s="393">
        <f ca="1">IF(ROWS($1:8)&gt;COUNT(Dong6),"",OFFSET(TH!E$1,SMALL(Dong6,ROWS($1:8)),))</f>
        <v>41641</v>
      </c>
      <c r="E18" s="443" t="str">
        <f ca="1">IF(ROWS($1:8)&gt;COUNT(Dong6),"",OFFSET(TH!F$1,SMALL(Dong6,ROWS($1:8)),))</f>
        <v xml:space="preserve">VAT Phí chuyển tiền </v>
      </c>
      <c r="F18" s="444">
        <f ca="1">IF(ROWS($1:8)&gt;COUNT(Dong6),"",OFFSET(TH!I$1,SMALL(Dong6,ROWS($1:8)),))</f>
        <v>2000</v>
      </c>
      <c r="G18" s="445" t="str">
        <f ca="1">IF(ROWS($1:8)&gt;COUNT(Dong6),"",OFFSET(TH!J$1,SMALL(Dong6,ROWS($1:8)),))</f>
        <v>1331</v>
      </c>
      <c r="H18" s="445" t="str">
        <f ca="1">IF(ROWS($1:8)&gt;COUNT(Dong6),"",OFFSET(TH!K$1,SMALL(Dong6,ROWS($1:8)),))</f>
        <v>1121</v>
      </c>
      <c r="I18" s="63">
        <f t="shared" ca="1" si="0"/>
        <v>8</v>
      </c>
      <c r="J18" s="395">
        <f t="shared" ca="1" si="1"/>
        <v>0</v>
      </c>
      <c r="K18" s="395">
        <f t="shared" ca="1" si="2"/>
        <v>0</v>
      </c>
      <c r="L18" s="395">
        <f t="shared" ca="1" si="3"/>
        <v>0</v>
      </c>
      <c r="M18" s="395">
        <f t="shared" ca="1" si="4"/>
        <v>2000</v>
      </c>
      <c r="N18" s="395">
        <f t="shared" ca="1" si="5"/>
        <v>2000</v>
      </c>
      <c r="O18" s="395">
        <f t="shared" ca="1" si="6"/>
        <v>0</v>
      </c>
      <c r="P18" s="395">
        <f t="shared" ca="1" si="7"/>
        <v>0</v>
      </c>
      <c r="Q18" s="395">
        <f t="shared" ca="1" si="8"/>
        <v>0</v>
      </c>
      <c r="R18" s="395">
        <f t="shared" ca="1" si="39"/>
        <v>0</v>
      </c>
      <c r="S18" s="395">
        <f t="shared" ca="1" si="40"/>
        <v>0</v>
      </c>
      <c r="T18" s="395">
        <f t="shared" ca="1" si="9"/>
        <v>0</v>
      </c>
      <c r="U18" s="395">
        <f t="shared" ca="1" si="10"/>
        <v>0</v>
      </c>
      <c r="V18" s="395">
        <f t="shared" ca="1" si="11"/>
        <v>0</v>
      </c>
      <c r="W18" s="395">
        <f t="shared" ca="1" si="12"/>
        <v>0</v>
      </c>
      <c r="X18" s="395">
        <f t="shared" ca="1" si="13"/>
        <v>0</v>
      </c>
      <c r="Y18" s="395">
        <f t="shared" ca="1" si="14"/>
        <v>0</v>
      </c>
      <c r="Z18" s="395">
        <f t="shared" ca="1" si="15"/>
        <v>0</v>
      </c>
      <c r="AA18" s="395">
        <f t="shared" ca="1" si="16"/>
        <v>0</v>
      </c>
      <c r="AB18" s="395">
        <f t="shared" ca="1" si="17"/>
        <v>0</v>
      </c>
      <c r="AC18" s="395">
        <f t="shared" ca="1" si="18"/>
        <v>0</v>
      </c>
      <c r="AD18" s="395">
        <f t="shared" ca="1" si="19"/>
        <v>0</v>
      </c>
      <c r="AE18" s="395">
        <f t="shared" ca="1" si="20"/>
        <v>0</v>
      </c>
      <c r="AF18" s="395">
        <f t="shared" ca="1" si="21"/>
        <v>0</v>
      </c>
      <c r="AG18" s="395">
        <f t="shared" ca="1" si="22"/>
        <v>0</v>
      </c>
      <c r="AH18" s="395">
        <f t="shared" ca="1" si="23"/>
        <v>0</v>
      </c>
      <c r="AI18" s="395">
        <f t="shared" ca="1" si="24"/>
        <v>0</v>
      </c>
      <c r="AJ18" s="395">
        <f t="shared" ca="1" si="25"/>
        <v>0</v>
      </c>
      <c r="AK18" s="395">
        <f t="shared" ca="1" si="26"/>
        <v>0</v>
      </c>
      <c r="AL18" s="395">
        <f t="shared" ca="1" si="27"/>
        <v>0</v>
      </c>
      <c r="AM18" s="395">
        <f t="shared" ca="1" si="28"/>
        <v>0</v>
      </c>
      <c r="AN18" s="395">
        <f t="shared" ca="1" si="29"/>
        <v>0</v>
      </c>
      <c r="AO18" s="395">
        <f t="shared" ca="1" si="30"/>
        <v>0</v>
      </c>
      <c r="AP18" s="395">
        <f t="shared" ca="1" si="31"/>
        <v>0</v>
      </c>
      <c r="AQ18" s="395">
        <f t="shared" ca="1" si="32"/>
        <v>0</v>
      </c>
      <c r="AR18" s="395">
        <f t="shared" ca="1" si="33"/>
        <v>0</v>
      </c>
      <c r="AS18" s="395">
        <f t="shared" ca="1" si="34"/>
        <v>0</v>
      </c>
      <c r="AT18" s="395">
        <f t="shared" ca="1" si="35"/>
        <v>0</v>
      </c>
      <c r="AU18" s="395">
        <f t="shared" ca="1" si="36"/>
        <v>0</v>
      </c>
      <c r="AV18" s="395">
        <f t="shared" ca="1" si="37"/>
        <v>0</v>
      </c>
      <c r="AW18" s="395">
        <f t="shared" ca="1" si="38"/>
        <v>0</v>
      </c>
    </row>
    <row r="19" spans="1:49" s="392" customFormat="1" ht="12.75" customHeight="1">
      <c r="A19" s="63">
        <f t="array" aca="1" ref="A19" ca="1">IF(C19&lt;&gt;0,SUM(($C$11:C19&lt;&gt;0)*1),"")</f>
        <v>9</v>
      </c>
      <c r="B19" s="393">
        <f ca="1">IF(ROWS($1:9)&gt;COUNT(Dong6),"",OFFSET(TH!C$1,SMALL(Dong6,ROWS($1:9)),))</f>
        <v>41653</v>
      </c>
      <c r="C19" s="393" t="str">
        <f ca="1">IF(ROWS($1:9)&gt;COUNT(Dong6),"",OFFSET(TH!D$1,SMALL(Dong6,ROWS($1:9)),))</f>
        <v>C02</v>
      </c>
      <c r="D19" s="393">
        <f ca="1">IF(ROWS($1:9)&gt;COUNT(Dong6),"",OFFSET(TH!E$1,SMALL(Dong6,ROWS($1:9)),))</f>
        <v>41653</v>
      </c>
      <c r="E19" s="443" t="str">
        <f ca="1">IF(ROWS($1:9)&gt;COUNT(Dong6),"",OFFSET(TH!F$1,SMALL(Dong6,ROWS($1:9)),))</f>
        <v>Hoàn trả tiền mượn chuyển khoản</v>
      </c>
      <c r="F19" s="444">
        <f ca="1">IF(ROWS($1:9)&gt;COUNT(Dong6),"",OFFSET(TH!I$1,SMALL(Dong6,ROWS($1:9)),))</f>
        <v>379000000</v>
      </c>
      <c r="G19" s="445" t="str">
        <f ca="1">IF(ROWS($1:9)&gt;COUNT(Dong6),"",OFFSET(TH!J$1,SMALL(Dong6,ROWS($1:9)),))</f>
        <v>3388</v>
      </c>
      <c r="H19" s="445" t="str">
        <f ca="1">IF(ROWS($1:9)&gt;COUNT(Dong6),"",OFFSET(TH!K$1,SMALL(Dong6,ROWS($1:9)),))</f>
        <v>1111</v>
      </c>
      <c r="I19" s="63">
        <f t="shared" ca="1" si="0"/>
        <v>9</v>
      </c>
      <c r="J19" s="395">
        <f t="shared" ca="1" si="1"/>
        <v>0</v>
      </c>
      <c r="K19" s="395">
        <f t="shared" ca="1" si="2"/>
        <v>379000000</v>
      </c>
      <c r="L19" s="395">
        <f t="shared" ca="1" si="3"/>
        <v>0</v>
      </c>
      <c r="M19" s="395">
        <f t="shared" ca="1" si="4"/>
        <v>0</v>
      </c>
      <c r="N19" s="395">
        <f t="shared" ca="1" si="5"/>
        <v>0</v>
      </c>
      <c r="O19" s="395">
        <f t="shared" ca="1" si="6"/>
        <v>0</v>
      </c>
      <c r="P19" s="395">
        <f t="shared" ca="1" si="7"/>
        <v>0</v>
      </c>
      <c r="Q19" s="395">
        <f t="shared" ca="1" si="8"/>
        <v>0</v>
      </c>
      <c r="R19" s="395">
        <f t="shared" ca="1" si="39"/>
        <v>0</v>
      </c>
      <c r="S19" s="395">
        <f t="shared" ca="1" si="40"/>
        <v>0</v>
      </c>
      <c r="T19" s="395">
        <f t="shared" ca="1" si="9"/>
        <v>0</v>
      </c>
      <c r="U19" s="395">
        <f t="shared" ca="1" si="10"/>
        <v>0</v>
      </c>
      <c r="V19" s="395">
        <f t="shared" ca="1" si="11"/>
        <v>0</v>
      </c>
      <c r="W19" s="395">
        <f t="shared" ca="1" si="12"/>
        <v>0</v>
      </c>
      <c r="X19" s="395">
        <f t="shared" ca="1" si="13"/>
        <v>0</v>
      </c>
      <c r="Y19" s="395">
        <f t="shared" ca="1" si="14"/>
        <v>0</v>
      </c>
      <c r="Z19" s="395">
        <f t="shared" ca="1" si="15"/>
        <v>379000000</v>
      </c>
      <c r="AA19" s="395">
        <f t="shared" ca="1" si="16"/>
        <v>0</v>
      </c>
      <c r="AB19" s="395">
        <f t="shared" ca="1" si="17"/>
        <v>0</v>
      </c>
      <c r="AC19" s="395">
        <f t="shared" ca="1" si="18"/>
        <v>0</v>
      </c>
      <c r="AD19" s="395">
        <f t="shared" ca="1" si="19"/>
        <v>0</v>
      </c>
      <c r="AE19" s="395">
        <f t="shared" ca="1" si="20"/>
        <v>0</v>
      </c>
      <c r="AF19" s="395">
        <f t="shared" ca="1" si="21"/>
        <v>0</v>
      </c>
      <c r="AG19" s="395">
        <f t="shared" ca="1" si="22"/>
        <v>0</v>
      </c>
      <c r="AH19" s="395">
        <f t="shared" ca="1" si="23"/>
        <v>0</v>
      </c>
      <c r="AI19" s="395">
        <f t="shared" ca="1" si="24"/>
        <v>0</v>
      </c>
      <c r="AJ19" s="395">
        <f t="shared" ca="1" si="25"/>
        <v>0</v>
      </c>
      <c r="AK19" s="395">
        <f t="shared" ca="1" si="26"/>
        <v>0</v>
      </c>
      <c r="AL19" s="395">
        <f t="shared" ca="1" si="27"/>
        <v>0</v>
      </c>
      <c r="AM19" s="395">
        <f t="shared" ca="1" si="28"/>
        <v>0</v>
      </c>
      <c r="AN19" s="395">
        <f t="shared" ca="1" si="29"/>
        <v>0</v>
      </c>
      <c r="AO19" s="395">
        <f t="shared" ca="1" si="30"/>
        <v>0</v>
      </c>
      <c r="AP19" s="395">
        <f t="shared" ca="1" si="31"/>
        <v>0</v>
      </c>
      <c r="AQ19" s="395">
        <f t="shared" ca="1" si="32"/>
        <v>0</v>
      </c>
      <c r="AR19" s="395">
        <f t="shared" ca="1" si="33"/>
        <v>0</v>
      </c>
      <c r="AS19" s="395">
        <f t="shared" ca="1" si="34"/>
        <v>0</v>
      </c>
      <c r="AT19" s="395">
        <f t="shared" ca="1" si="35"/>
        <v>0</v>
      </c>
      <c r="AU19" s="395">
        <f t="shared" ca="1" si="36"/>
        <v>0</v>
      </c>
      <c r="AV19" s="395">
        <f t="shared" ca="1" si="37"/>
        <v>0</v>
      </c>
      <c r="AW19" s="395">
        <f t="shared" ca="1" si="38"/>
        <v>0</v>
      </c>
    </row>
    <row r="20" spans="1:49" s="392" customFormat="1" ht="12.75" customHeight="1">
      <c r="A20" s="63">
        <f t="array" aca="1" ref="A20" ca="1">IF(C20&lt;&gt;0,SUM(($C$11:C20&lt;&gt;0)*1),"")</f>
        <v>10</v>
      </c>
      <c r="B20" s="393">
        <f ca="1">IF(ROWS($1:10)&gt;COUNT(Dong6),"",OFFSET(TH!C$1,SMALL(Dong6,ROWS($1:10)),))</f>
        <v>41653</v>
      </c>
      <c r="C20" s="393" t="str">
        <f ca="1">IF(ROWS($1:10)&gt;COUNT(Dong6),"",OFFSET(TH!D$1,SMALL(Dong6,ROWS($1:10)),))</f>
        <v>GBC</v>
      </c>
      <c r="D20" s="393">
        <f ca="1">IF(ROWS($1:10)&gt;COUNT(Dong6),"",OFFSET(TH!E$1,SMALL(Dong6,ROWS($1:10)),))</f>
        <v>41653</v>
      </c>
      <c r="E20" s="443" t="str">
        <f ca="1">IF(ROWS($1:10)&gt;COUNT(Dong6),"",OFFSET(TH!F$1,SMALL(Dong6,ROWS($1:10)),))</f>
        <v>An Lạc LA- Ứng vốn</v>
      </c>
      <c r="F20" s="444">
        <f ca="1">IF(ROWS($1:10)&gt;COUNT(Dong6),"",OFFSET(TH!I$1,SMALL(Dong6,ROWS($1:10)),))</f>
        <v>379000000</v>
      </c>
      <c r="G20" s="445" t="str">
        <f ca="1">IF(ROWS($1:10)&gt;COUNT(Dong6),"",OFFSET(TH!J$1,SMALL(Dong6,ROWS($1:10)),))</f>
        <v>1121</v>
      </c>
      <c r="H20" s="445" t="str">
        <f ca="1">IF(ROWS($1:10)&gt;COUNT(Dong6),"",OFFSET(TH!K$1,SMALL(Dong6,ROWS($1:10)),))</f>
        <v>3388</v>
      </c>
      <c r="I20" s="63">
        <f t="shared" ca="1" si="0"/>
        <v>10</v>
      </c>
      <c r="J20" s="395">
        <f t="shared" ca="1" si="1"/>
        <v>0</v>
      </c>
      <c r="K20" s="395">
        <f t="shared" ca="1" si="2"/>
        <v>0</v>
      </c>
      <c r="L20" s="395">
        <f t="shared" ca="1" si="3"/>
        <v>379000000</v>
      </c>
      <c r="M20" s="395">
        <f t="shared" ca="1" si="4"/>
        <v>0</v>
      </c>
      <c r="N20" s="395">
        <f t="shared" ca="1" si="5"/>
        <v>0</v>
      </c>
      <c r="O20" s="395">
        <f t="shared" ca="1" si="6"/>
        <v>0</v>
      </c>
      <c r="P20" s="395">
        <f t="shared" ca="1" si="7"/>
        <v>0</v>
      </c>
      <c r="Q20" s="395">
        <f t="shared" ca="1" si="8"/>
        <v>0</v>
      </c>
      <c r="R20" s="395">
        <f t="shared" ca="1" si="39"/>
        <v>0</v>
      </c>
      <c r="S20" s="395">
        <f t="shared" ca="1" si="40"/>
        <v>0</v>
      </c>
      <c r="T20" s="395">
        <f t="shared" ca="1" si="9"/>
        <v>0</v>
      </c>
      <c r="U20" s="395">
        <f t="shared" ca="1" si="10"/>
        <v>0</v>
      </c>
      <c r="V20" s="395">
        <f t="shared" ca="1" si="11"/>
        <v>0</v>
      </c>
      <c r="W20" s="395">
        <f t="shared" ca="1" si="12"/>
        <v>0</v>
      </c>
      <c r="X20" s="395">
        <f t="shared" ca="1" si="13"/>
        <v>0</v>
      </c>
      <c r="Y20" s="395">
        <f t="shared" ca="1" si="14"/>
        <v>0</v>
      </c>
      <c r="Z20" s="395">
        <f t="shared" ca="1" si="15"/>
        <v>0</v>
      </c>
      <c r="AA20" s="395">
        <f t="shared" ca="1" si="16"/>
        <v>379000000</v>
      </c>
      <c r="AB20" s="395">
        <f t="shared" ca="1" si="17"/>
        <v>0</v>
      </c>
      <c r="AC20" s="395">
        <f t="shared" ca="1" si="18"/>
        <v>0</v>
      </c>
      <c r="AD20" s="395">
        <f t="shared" ca="1" si="19"/>
        <v>0</v>
      </c>
      <c r="AE20" s="395">
        <f t="shared" ca="1" si="20"/>
        <v>0</v>
      </c>
      <c r="AF20" s="395">
        <f t="shared" ca="1" si="21"/>
        <v>0</v>
      </c>
      <c r="AG20" s="395">
        <f t="shared" ca="1" si="22"/>
        <v>0</v>
      </c>
      <c r="AH20" s="395">
        <f t="shared" ca="1" si="23"/>
        <v>0</v>
      </c>
      <c r="AI20" s="395">
        <f t="shared" ca="1" si="24"/>
        <v>0</v>
      </c>
      <c r="AJ20" s="395">
        <f t="shared" ca="1" si="25"/>
        <v>0</v>
      </c>
      <c r="AK20" s="395">
        <f t="shared" ca="1" si="26"/>
        <v>0</v>
      </c>
      <c r="AL20" s="395">
        <f t="shared" ca="1" si="27"/>
        <v>0</v>
      </c>
      <c r="AM20" s="395">
        <f t="shared" ca="1" si="28"/>
        <v>0</v>
      </c>
      <c r="AN20" s="395">
        <f t="shared" ca="1" si="29"/>
        <v>0</v>
      </c>
      <c r="AO20" s="395">
        <f t="shared" ca="1" si="30"/>
        <v>0</v>
      </c>
      <c r="AP20" s="395">
        <f t="shared" ca="1" si="31"/>
        <v>0</v>
      </c>
      <c r="AQ20" s="395">
        <f t="shared" ca="1" si="32"/>
        <v>0</v>
      </c>
      <c r="AR20" s="395">
        <f t="shared" ca="1" si="33"/>
        <v>0</v>
      </c>
      <c r="AS20" s="395">
        <f t="shared" ca="1" si="34"/>
        <v>0</v>
      </c>
      <c r="AT20" s="395">
        <f t="shared" ca="1" si="35"/>
        <v>0</v>
      </c>
      <c r="AU20" s="395">
        <f t="shared" ca="1" si="36"/>
        <v>0</v>
      </c>
      <c r="AV20" s="395">
        <f t="shared" ca="1" si="37"/>
        <v>0</v>
      </c>
      <c r="AW20" s="395">
        <f t="shared" ca="1" si="38"/>
        <v>0</v>
      </c>
    </row>
    <row r="21" spans="1:49" s="392" customFormat="1" ht="12.75" customHeight="1">
      <c r="A21" s="63">
        <f t="array" aca="1" ref="A21" ca="1">IF(C21&lt;&gt;0,SUM(($C$11:C21&lt;&gt;0)*1),"")</f>
        <v>11</v>
      </c>
      <c r="B21" s="393">
        <f ca="1">IF(ROWS($1:11)&gt;COUNT(Dong6),"",OFFSET(TH!C$1,SMALL(Dong6,ROWS($1:11)),))</f>
        <v>41653</v>
      </c>
      <c r="C21" s="393" t="str">
        <f ca="1">IF(ROWS($1:11)&gt;COUNT(Dong6),"",OFFSET(TH!D$1,SMALL(Dong6,ROWS($1:11)),))</f>
        <v>GBN</v>
      </c>
      <c r="D21" s="393">
        <f ca="1">IF(ROWS($1:11)&gt;COUNT(Dong6),"",OFFSET(TH!E$1,SMALL(Dong6,ROWS($1:11)),))</f>
        <v>41653</v>
      </c>
      <c r="E21" s="443" t="str">
        <f ca="1">IF(ROWS($1:11)&gt;COUNT(Dong6),"",OFFSET(TH!F$1,SMALL(Dong6,ROWS($1:11)),))</f>
        <v xml:space="preserve">Phí chuyển tiền </v>
      </c>
      <c r="F21" s="444">
        <f ca="1">IF(ROWS($1:11)&gt;COUNT(Dong6),"",OFFSET(TH!I$1,SMALL(Dong6,ROWS($1:11)),))</f>
        <v>113634</v>
      </c>
      <c r="G21" s="445" t="str">
        <f ca="1">IF(ROWS($1:11)&gt;COUNT(Dong6),"",OFFSET(TH!J$1,SMALL(Dong6,ROWS($1:11)),))</f>
        <v>642</v>
      </c>
      <c r="H21" s="445" t="str">
        <f ca="1">IF(ROWS($1:11)&gt;COUNT(Dong6),"",OFFSET(TH!K$1,SMALL(Dong6,ROWS($1:11)),))</f>
        <v>1121</v>
      </c>
      <c r="I21" s="63">
        <f t="shared" ca="1" si="0"/>
        <v>11</v>
      </c>
      <c r="J21" s="395">
        <f t="shared" ca="1" si="1"/>
        <v>0</v>
      </c>
      <c r="K21" s="395">
        <f t="shared" ca="1" si="2"/>
        <v>0</v>
      </c>
      <c r="L21" s="395">
        <f t="shared" ca="1" si="3"/>
        <v>0</v>
      </c>
      <c r="M21" s="395">
        <f t="shared" ca="1" si="4"/>
        <v>113634</v>
      </c>
      <c r="N21" s="395">
        <f t="shared" ca="1" si="5"/>
        <v>0</v>
      </c>
      <c r="O21" s="395">
        <f t="shared" ca="1" si="6"/>
        <v>0</v>
      </c>
      <c r="P21" s="395">
        <f t="shared" ca="1" si="7"/>
        <v>0</v>
      </c>
      <c r="Q21" s="395">
        <f t="shared" ca="1" si="8"/>
        <v>0</v>
      </c>
      <c r="R21" s="395">
        <f t="shared" ca="1" si="39"/>
        <v>0</v>
      </c>
      <c r="S21" s="395">
        <f t="shared" ca="1" si="40"/>
        <v>0</v>
      </c>
      <c r="T21" s="395">
        <f t="shared" ca="1" si="9"/>
        <v>0</v>
      </c>
      <c r="U21" s="395">
        <f t="shared" ca="1" si="10"/>
        <v>0</v>
      </c>
      <c r="V21" s="395">
        <f t="shared" ca="1" si="11"/>
        <v>0</v>
      </c>
      <c r="W21" s="395">
        <f t="shared" ca="1" si="12"/>
        <v>0</v>
      </c>
      <c r="X21" s="395">
        <f t="shared" ca="1" si="13"/>
        <v>0</v>
      </c>
      <c r="Y21" s="395">
        <f t="shared" ca="1" si="14"/>
        <v>0</v>
      </c>
      <c r="Z21" s="395">
        <f t="shared" ca="1" si="15"/>
        <v>0</v>
      </c>
      <c r="AA21" s="395">
        <f t="shared" ca="1" si="16"/>
        <v>0</v>
      </c>
      <c r="AB21" s="395">
        <f t="shared" ca="1" si="17"/>
        <v>0</v>
      </c>
      <c r="AC21" s="395">
        <f t="shared" ca="1" si="18"/>
        <v>0</v>
      </c>
      <c r="AD21" s="395">
        <f t="shared" ca="1" si="19"/>
        <v>0</v>
      </c>
      <c r="AE21" s="395">
        <f t="shared" ca="1" si="20"/>
        <v>0</v>
      </c>
      <c r="AF21" s="395">
        <f t="shared" ca="1" si="21"/>
        <v>0</v>
      </c>
      <c r="AG21" s="395">
        <f t="shared" ca="1" si="22"/>
        <v>0</v>
      </c>
      <c r="AH21" s="395">
        <f t="shared" ca="1" si="23"/>
        <v>0</v>
      </c>
      <c r="AI21" s="395">
        <f t="shared" ca="1" si="24"/>
        <v>0</v>
      </c>
      <c r="AJ21" s="395">
        <f t="shared" ca="1" si="25"/>
        <v>0</v>
      </c>
      <c r="AK21" s="395">
        <f t="shared" ca="1" si="26"/>
        <v>0</v>
      </c>
      <c r="AL21" s="395">
        <f t="shared" ca="1" si="27"/>
        <v>0</v>
      </c>
      <c r="AM21" s="395">
        <f t="shared" ca="1" si="28"/>
        <v>0</v>
      </c>
      <c r="AN21" s="395">
        <f t="shared" ca="1" si="29"/>
        <v>113634</v>
      </c>
      <c r="AO21" s="395">
        <f t="shared" ca="1" si="30"/>
        <v>0</v>
      </c>
      <c r="AP21" s="395">
        <f t="shared" ca="1" si="31"/>
        <v>0</v>
      </c>
      <c r="AQ21" s="395">
        <f t="shared" ca="1" si="32"/>
        <v>0</v>
      </c>
      <c r="AR21" s="395">
        <f t="shared" ca="1" si="33"/>
        <v>0</v>
      </c>
      <c r="AS21" s="395">
        <f t="shared" ca="1" si="34"/>
        <v>0</v>
      </c>
      <c r="AT21" s="395">
        <f t="shared" ca="1" si="35"/>
        <v>0</v>
      </c>
      <c r="AU21" s="395">
        <f t="shared" ca="1" si="36"/>
        <v>0</v>
      </c>
      <c r="AV21" s="395">
        <f t="shared" ca="1" si="37"/>
        <v>0</v>
      </c>
      <c r="AW21" s="395">
        <f t="shared" ca="1" si="38"/>
        <v>0</v>
      </c>
    </row>
    <row r="22" spans="1:49" s="392" customFormat="1" ht="12.75" customHeight="1">
      <c r="A22" s="63">
        <f t="array" aca="1" ref="A22" ca="1">IF(C22&lt;&gt;0,SUM(($C$11:C22&lt;&gt;0)*1),"")</f>
        <v>12</v>
      </c>
      <c r="B22" s="393">
        <f ca="1">IF(ROWS($1:12)&gt;COUNT(Dong6),"",OFFSET(TH!C$1,SMALL(Dong6,ROWS($1:12)),))</f>
        <v>41653</v>
      </c>
      <c r="C22" s="393" t="str">
        <f ca="1">IF(ROWS($1:12)&gt;COUNT(Dong6),"",OFFSET(TH!D$1,SMALL(Dong6,ROWS($1:12)),))</f>
        <v>GBN</v>
      </c>
      <c r="D22" s="393">
        <f ca="1">IF(ROWS($1:12)&gt;COUNT(Dong6),"",OFFSET(TH!E$1,SMALL(Dong6,ROWS($1:12)),))</f>
        <v>41653</v>
      </c>
      <c r="E22" s="443" t="str">
        <f ca="1">IF(ROWS($1:12)&gt;COUNT(Dong6),"",OFFSET(TH!F$1,SMALL(Dong6,ROWS($1:12)),))</f>
        <v xml:space="preserve">VAT Phí chuyển tiền </v>
      </c>
      <c r="F22" s="444">
        <f ca="1">IF(ROWS($1:12)&gt;COUNT(Dong6),"",OFFSET(TH!I$1,SMALL(Dong6,ROWS($1:12)),))</f>
        <v>11363</v>
      </c>
      <c r="G22" s="445" t="str">
        <f ca="1">IF(ROWS($1:12)&gt;COUNT(Dong6),"",OFFSET(TH!J$1,SMALL(Dong6,ROWS($1:12)),))</f>
        <v>1331</v>
      </c>
      <c r="H22" s="445" t="str">
        <f ca="1">IF(ROWS($1:12)&gt;COUNT(Dong6),"",OFFSET(TH!K$1,SMALL(Dong6,ROWS($1:12)),))</f>
        <v>1121</v>
      </c>
      <c r="I22" s="63">
        <f t="shared" ca="1" si="0"/>
        <v>12</v>
      </c>
      <c r="J22" s="395">
        <f t="shared" ca="1" si="1"/>
        <v>0</v>
      </c>
      <c r="K22" s="395">
        <f t="shared" ca="1" si="2"/>
        <v>0</v>
      </c>
      <c r="L22" s="395">
        <f t="shared" ca="1" si="3"/>
        <v>0</v>
      </c>
      <c r="M22" s="395">
        <f t="shared" ca="1" si="4"/>
        <v>11363</v>
      </c>
      <c r="N22" s="395">
        <f t="shared" ca="1" si="5"/>
        <v>11363</v>
      </c>
      <c r="O22" s="395">
        <f t="shared" ca="1" si="6"/>
        <v>0</v>
      </c>
      <c r="P22" s="395">
        <f t="shared" ca="1" si="7"/>
        <v>0</v>
      </c>
      <c r="Q22" s="395">
        <f t="shared" ca="1" si="8"/>
        <v>0</v>
      </c>
      <c r="R22" s="395">
        <f t="shared" ca="1" si="39"/>
        <v>0</v>
      </c>
      <c r="S22" s="395">
        <f t="shared" ca="1" si="40"/>
        <v>0</v>
      </c>
      <c r="T22" s="395">
        <f t="shared" ca="1" si="9"/>
        <v>0</v>
      </c>
      <c r="U22" s="395">
        <f t="shared" ca="1" si="10"/>
        <v>0</v>
      </c>
      <c r="V22" s="395">
        <f t="shared" ca="1" si="11"/>
        <v>0</v>
      </c>
      <c r="W22" s="395">
        <f t="shared" ca="1" si="12"/>
        <v>0</v>
      </c>
      <c r="X22" s="395">
        <f t="shared" ca="1" si="13"/>
        <v>0</v>
      </c>
      <c r="Y22" s="395">
        <f t="shared" ca="1" si="14"/>
        <v>0</v>
      </c>
      <c r="Z22" s="395">
        <f t="shared" ca="1" si="15"/>
        <v>0</v>
      </c>
      <c r="AA22" s="395">
        <f t="shared" ca="1" si="16"/>
        <v>0</v>
      </c>
      <c r="AB22" s="395">
        <f t="shared" ca="1" si="17"/>
        <v>0</v>
      </c>
      <c r="AC22" s="395">
        <f t="shared" ca="1" si="18"/>
        <v>0</v>
      </c>
      <c r="AD22" s="395">
        <f t="shared" ca="1" si="19"/>
        <v>0</v>
      </c>
      <c r="AE22" s="395">
        <f t="shared" ca="1" si="20"/>
        <v>0</v>
      </c>
      <c r="AF22" s="395">
        <f t="shared" ca="1" si="21"/>
        <v>0</v>
      </c>
      <c r="AG22" s="395">
        <f t="shared" ca="1" si="22"/>
        <v>0</v>
      </c>
      <c r="AH22" s="395">
        <f t="shared" ca="1" si="23"/>
        <v>0</v>
      </c>
      <c r="AI22" s="395">
        <f t="shared" ca="1" si="24"/>
        <v>0</v>
      </c>
      <c r="AJ22" s="395">
        <f t="shared" ca="1" si="25"/>
        <v>0</v>
      </c>
      <c r="AK22" s="395">
        <f t="shared" ca="1" si="26"/>
        <v>0</v>
      </c>
      <c r="AL22" s="395">
        <f t="shared" ca="1" si="27"/>
        <v>0</v>
      </c>
      <c r="AM22" s="395">
        <f t="shared" ca="1" si="28"/>
        <v>0</v>
      </c>
      <c r="AN22" s="395">
        <f t="shared" ca="1" si="29"/>
        <v>0</v>
      </c>
      <c r="AO22" s="395">
        <f t="shared" ca="1" si="30"/>
        <v>0</v>
      </c>
      <c r="AP22" s="395">
        <f t="shared" ca="1" si="31"/>
        <v>0</v>
      </c>
      <c r="AQ22" s="395">
        <f t="shared" ca="1" si="32"/>
        <v>0</v>
      </c>
      <c r="AR22" s="395">
        <f t="shared" ca="1" si="33"/>
        <v>0</v>
      </c>
      <c r="AS22" s="395">
        <f t="shared" ca="1" si="34"/>
        <v>0</v>
      </c>
      <c r="AT22" s="395">
        <f t="shared" ca="1" si="35"/>
        <v>0</v>
      </c>
      <c r="AU22" s="395">
        <f t="shared" ca="1" si="36"/>
        <v>0</v>
      </c>
      <c r="AV22" s="395">
        <f t="shared" ca="1" si="37"/>
        <v>0</v>
      </c>
      <c r="AW22" s="395">
        <f t="shared" ca="1" si="38"/>
        <v>0</v>
      </c>
    </row>
    <row r="23" spans="1:49" s="392" customFormat="1" ht="12.75" customHeight="1">
      <c r="A23" s="63">
        <f t="array" aca="1" ref="A23" ca="1">IF(C23&lt;&gt;0,SUM(($C$11:C23&lt;&gt;0)*1),"")</f>
        <v>13</v>
      </c>
      <c r="B23" s="393">
        <f ca="1">IF(ROWS($1:13)&gt;COUNT(Dong6),"",OFFSET(TH!C$1,SMALL(Dong6,ROWS($1:13)),))</f>
        <v>41653</v>
      </c>
      <c r="C23" s="393" t="str">
        <f ca="1">IF(ROWS($1:13)&gt;COUNT(Dong6),"",OFFSET(TH!D$1,SMALL(Dong6,ROWS($1:13)),))</f>
        <v>CTGS</v>
      </c>
      <c r="D23" s="393">
        <f ca="1">IF(ROWS($1:13)&gt;COUNT(Dong6),"",OFFSET(TH!E$1,SMALL(Dong6,ROWS($1:13)),))</f>
        <v>41653</v>
      </c>
      <c r="E23" s="443" t="str">
        <f ca="1">IF(ROWS($1:13)&gt;COUNT(Dong6),"",OFFSET(TH!F$1,SMALL(Dong6,ROWS($1:13)),))</f>
        <v>Tiền sử dụng CSHT - KCN Long Đức 15/9/13-15/9/14</v>
      </c>
      <c r="F23" s="444">
        <f ca="1">IF(ROWS($1:13)&gt;COUNT(Dong6),"",OFFSET(TH!I$1,SMALL(Dong6,ROWS($1:13)),))</f>
        <v>27200000</v>
      </c>
      <c r="G23" s="445" t="str">
        <f ca="1">IF(ROWS($1:13)&gt;COUNT(Dong6),"",OFFSET(TH!J$1,SMALL(Dong6,ROWS($1:13)),))</f>
        <v>642</v>
      </c>
      <c r="H23" s="445" t="str">
        <f ca="1">IF(ROWS($1:13)&gt;COUNT(Dong6),"",OFFSET(TH!K$1,SMALL(Dong6,ROWS($1:13)),))</f>
        <v>331</v>
      </c>
      <c r="I23" s="63">
        <f t="shared" ca="1" si="0"/>
        <v>13</v>
      </c>
      <c r="J23" s="395">
        <f t="shared" ca="1" si="1"/>
        <v>0</v>
      </c>
      <c r="K23" s="395">
        <f t="shared" ca="1" si="2"/>
        <v>0</v>
      </c>
      <c r="L23" s="395">
        <f t="shared" ca="1" si="3"/>
        <v>0</v>
      </c>
      <c r="M23" s="395">
        <f t="shared" ca="1" si="4"/>
        <v>0</v>
      </c>
      <c r="N23" s="395">
        <f t="shared" ca="1" si="5"/>
        <v>0</v>
      </c>
      <c r="O23" s="395">
        <f t="shared" ca="1" si="6"/>
        <v>0</v>
      </c>
      <c r="P23" s="395">
        <f t="shared" ca="1" si="7"/>
        <v>0</v>
      </c>
      <c r="Q23" s="395">
        <f t="shared" ca="1" si="8"/>
        <v>0</v>
      </c>
      <c r="R23" s="395">
        <f t="shared" ca="1" si="39"/>
        <v>0</v>
      </c>
      <c r="S23" s="395">
        <f t="shared" ca="1" si="40"/>
        <v>0</v>
      </c>
      <c r="T23" s="395">
        <f t="shared" ca="1" si="9"/>
        <v>0</v>
      </c>
      <c r="U23" s="395">
        <f t="shared" ca="1" si="10"/>
        <v>27200000</v>
      </c>
      <c r="V23" s="395">
        <f t="shared" ca="1" si="11"/>
        <v>0</v>
      </c>
      <c r="W23" s="395">
        <f t="shared" ca="1" si="12"/>
        <v>0</v>
      </c>
      <c r="X23" s="395">
        <f t="shared" ca="1" si="13"/>
        <v>0</v>
      </c>
      <c r="Y23" s="395">
        <f t="shared" ca="1" si="14"/>
        <v>0</v>
      </c>
      <c r="Z23" s="395">
        <f t="shared" ca="1" si="15"/>
        <v>0</v>
      </c>
      <c r="AA23" s="395">
        <f t="shared" ca="1" si="16"/>
        <v>0</v>
      </c>
      <c r="AB23" s="395">
        <f t="shared" ca="1" si="17"/>
        <v>0</v>
      </c>
      <c r="AC23" s="395">
        <f t="shared" ca="1" si="18"/>
        <v>0</v>
      </c>
      <c r="AD23" s="395">
        <f t="shared" ca="1" si="19"/>
        <v>0</v>
      </c>
      <c r="AE23" s="395">
        <f t="shared" ca="1" si="20"/>
        <v>0</v>
      </c>
      <c r="AF23" s="395">
        <f t="shared" ca="1" si="21"/>
        <v>0</v>
      </c>
      <c r="AG23" s="395">
        <f t="shared" ca="1" si="22"/>
        <v>0</v>
      </c>
      <c r="AH23" s="395">
        <f t="shared" ca="1" si="23"/>
        <v>0</v>
      </c>
      <c r="AI23" s="395">
        <f t="shared" ca="1" si="24"/>
        <v>0</v>
      </c>
      <c r="AJ23" s="395">
        <f t="shared" ca="1" si="25"/>
        <v>0</v>
      </c>
      <c r="AK23" s="395">
        <f t="shared" ca="1" si="26"/>
        <v>0</v>
      </c>
      <c r="AL23" s="395">
        <f t="shared" ca="1" si="27"/>
        <v>0</v>
      </c>
      <c r="AM23" s="395">
        <f t="shared" ca="1" si="28"/>
        <v>0</v>
      </c>
      <c r="AN23" s="395">
        <f t="shared" ca="1" si="29"/>
        <v>27200000</v>
      </c>
      <c r="AO23" s="395">
        <f t="shared" ca="1" si="30"/>
        <v>0</v>
      </c>
      <c r="AP23" s="395">
        <f t="shared" ca="1" si="31"/>
        <v>0</v>
      </c>
      <c r="AQ23" s="395">
        <f t="shared" ca="1" si="32"/>
        <v>0</v>
      </c>
      <c r="AR23" s="395">
        <f t="shared" ca="1" si="33"/>
        <v>0</v>
      </c>
      <c r="AS23" s="395">
        <f t="shared" ca="1" si="34"/>
        <v>0</v>
      </c>
      <c r="AT23" s="395">
        <f t="shared" ca="1" si="35"/>
        <v>0</v>
      </c>
      <c r="AU23" s="395">
        <f t="shared" ca="1" si="36"/>
        <v>0</v>
      </c>
      <c r="AV23" s="395">
        <f t="shared" ca="1" si="37"/>
        <v>0</v>
      </c>
      <c r="AW23" s="395">
        <f t="shared" ca="1" si="38"/>
        <v>0</v>
      </c>
    </row>
    <row r="24" spans="1:49" s="392" customFormat="1" ht="12.75" customHeight="1">
      <c r="A24" s="63">
        <f t="array" aca="1" ref="A24" ca="1">IF(C24&lt;&gt;0,SUM(($C$11:C24&lt;&gt;0)*1),"")</f>
        <v>14</v>
      </c>
      <c r="B24" s="393">
        <f ca="1">IF(ROWS($1:14)&gt;COUNT(Dong6),"",OFFSET(TH!C$1,SMALL(Dong6,ROWS($1:14)),))</f>
        <v>41653</v>
      </c>
      <c r="C24" s="393" t="str">
        <f ca="1">IF(ROWS($1:14)&gt;COUNT(Dong6),"",OFFSET(TH!D$1,SMALL(Dong6,ROWS($1:14)),))</f>
        <v>CTGS</v>
      </c>
      <c r="D24" s="393">
        <f ca="1">IF(ROWS($1:14)&gt;COUNT(Dong6),"",OFFSET(TH!E$1,SMALL(Dong6,ROWS($1:14)),))</f>
        <v>41653</v>
      </c>
      <c r="E24" s="443" t="str">
        <f ca="1">IF(ROWS($1:14)&gt;COUNT(Dong6),"",OFFSET(TH!F$1,SMALL(Dong6,ROWS($1:14)),))</f>
        <v>VAT CSHT - KCN Long Đức</v>
      </c>
      <c r="F24" s="444">
        <f ca="1">IF(ROWS($1:14)&gt;COUNT(Dong6),"",OFFSET(TH!I$1,SMALL(Dong6,ROWS($1:14)),))</f>
        <v>2720000</v>
      </c>
      <c r="G24" s="445" t="str">
        <f ca="1">IF(ROWS($1:14)&gt;COUNT(Dong6),"",OFFSET(TH!J$1,SMALL(Dong6,ROWS($1:14)),))</f>
        <v>1331</v>
      </c>
      <c r="H24" s="445" t="str">
        <f ca="1">IF(ROWS($1:14)&gt;COUNT(Dong6),"",OFFSET(TH!K$1,SMALL(Dong6,ROWS($1:14)),))</f>
        <v>331</v>
      </c>
      <c r="I24" s="63">
        <f t="shared" ca="1" si="0"/>
        <v>14</v>
      </c>
      <c r="J24" s="395">
        <f t="shared" ca="1" si="1"/>
        <v>0</v>
      </c>
      <c r="K24" s="395">
        <f t="shared" ca="1" si="2"/>
        <v>0</v>
      </c>
      <c r="L24" s="395">
        <f t="shared" ca="1" si="3"/>
        <v>0</v>
      </c>
      <c r="M24" s="395">
        <f t="shared" ca="1" si="4"/>
        <v>0</v>
      </c>
      <c r="N24" s="395">
        <f t="shared" ca="1" si="5"/>
        <v>2720000</v>
      </c>
      <c r="O24" s="395">
        <f t="shared" ca="1" si="6"/>
        <v>0</v>
      </c>
      <c r="P24" s="395">
        <f t="shared" ca="1" si="7"/>
        <v>0</v>
      </c>
      <c r="Q24" s="395">
        <f t="shared" ca="1" si="8"/>
        <v>0</v>
      </c>
      <c r="R24" s="395">
        <f t="shared" ca="1" si="39"/>
        <v>0</v>
      </c>
      <c r="S24" s="395">
        <f t="shared" ca="1" si="40"/>
        <v>0</v>
      </c>
      <c r="T24" s="395">
        <f t="shared" ca="1" si="9"/>
        <v>0</v>
      </c>
      <c r="U24" s="395">
        <f t="shared" ca="1" si="10"/>
        <v>2720000</v>
      </c>
      <c r="V24" s="395">
        <f t="shared" ca="1" si="11"/>
        <v>0</v>
      </c>
      <c r="W24" s="395">
        <f t="shared" ca="1" si="12"/>
        <v>0</v>
      </c>
      <c r="X24" s="395">
        <f t="shared" ca="1" si="13"/>
        <v>0</v>
      </c>
      <c r="Y24" s="395">
        <f t="shared" ca="1" si="14"/>
        <v>0</v>
      </c>
      <c r="Z24" s="395">
        <f t="shared" ca="1" si="15"/>
        <v>0</v>
      </c>
      <c r="AA24" s="395">
        <f t="shared" ca="1" si="16"/>
        <v>0</v>
      </c>
      <c r="AB24" s="395">
        <f t="shared" ca="1" si="17"/>
        <v>0</v>
      </c>
      <c r="AC24" s="395">
        <f t="shared" ca="1" si="18"/>
        <v>0</v>
      </c>
      <c r="AD24" s="395">
        <f t="shared" ca="1" si="19"/>
        <v>0</v>
      </c>
      <c r="AE24" s="395">
        <f t="shared" ca="1" si="20"/>
        <v>0</v>
      </c>
      <c r="AF24" s="395">
        <f t="shared" ca="1" si="21"/>
        <v>0</v>
      </c>
      <c r="AG24" s="395">
        <f t="shared" ca="1" si="22"/>
        <v>0</v>
      </c>
      <c r="AH24" s="395">
        <f t="shared" ca="1" si="23"/>
        <v>0</v>
      </c>
      <c r="AI24" s="395">
        <f t="shared" ca="1" si="24"/>
        <v>0</v>
      </c>
      <c r="AJ24" s="395">
        <f t="shared" ca="1" si="25"/>
        <v>0</v>
      </c>
      <c r="AK24" s="395">
        <f t="shared" ca="1" si="26"/>
        <v>0</v>
      </c>
      <c r="AL24" s="395">
        <f t="shared" ca="1" si="27"/>
        <v>0</v>
      </c>
      <c r="AM24" s="395">
        <f t="shared" ca="1" si="28"/>
        <v>0</v>
      </c>
      <c r="AN24" s="395">
        <f t="shared" ca="1" si="29"/>
        <v>0</v>
      </c>
      <c r="AO24" s="395">
        <f t="shared" ca="1" si="30"/>
        <v>0</v>
      </c>
      <c r="AP24" s="395">
        <f t="shared" ca="1" si="31"/>
        <v>0</v>
      </c>
      <c r="AQ24" s="395">
        <f t="shared" ca="1" si="32"/>
        <v>0</v>
      </c>
      <c r="AR24" s="395">
        <f t="shared" ca="1" si="33"/>
        <v>0</v>
      </c>
      <c r="AS24" s="395">
        <f t="shared" ca="1" si="34"/>
        <v>0</v>
      </c>
      <c r="AT24" s="395">
        <f t="shared" ca="1" si="35"/>
        <v>0</v>
      </c>
      <c r="AU24" s="395">
        <f t="shared" ca="1" si="36"/>
        <v>0</v>
      </c>
      <c r="AV24" s="395">
        <f t="shared" ca="1" si="37"/>
        <v>0</v>
      </c>
      <c r="AW24" s="395">
        <f t="shared" ca="1" si="38"/>
        <v>0</v>
      </c>
    </row>
    <row r="25" spans="1:49" s="392" customFormat="1" ht="12.75" customHeight="1">
      <c r="A25" s="63">
        <f t="array" aca="1" ref="A25" ca="1">IF(C25&lt;&gt;0,SUM(($C$11:C25&lt;&gt;0)*1),"")</f>
        <v>15</v>
      </c>
      <c r="B25" s="393">
        <f ca="1">IF(ROWS($1:15)&gt;COUNT(Dong6),"",OFFSET(TH!C$1,SMALL(Dong6,ROWS($1:15)),))</f>
        <v>41660</v>
      </c>
      <c r="C25" s="393" t="str">
        <f ca="1">IF(ROWS($1:15)&gt;COUNT(Dong6),"",OFFSET(TH!D$1,SMALL(Dong6,ROWS($1:15)),))</f>
        <v>C03</v>
      </c>
      <c r="D25" s="393">
        <f ca="1">IF(ROWS($1:15)&gt;COUNT(Dong6),"",OFFSET(TH!E$1,SMALL(Dong6,ROWS($1:15)),))</f>
        <v>41660</v>
      </c>
      <c r="E25" s="443" t="str">
        <f ca="1">IF(ROWS($1:15)&gt;COUNT(Dong6),"",OFFSET(TH!F$1,SMALL(Dong6,ROWS($1:15)),))</f>
        <v>Hoàn trả tiền mượn chuyển khoản</v>
      </c>
      <c r="F25" s="444">
        <f ca="1">IF(ROWS($1:15)&gt;COUNT(Dong6),"",OFFSET(TH!I$1,SMALL(Dong6,ROWS($1:15)),))</f>
        <v>1500000</v>
      </c>
      <c r="G25" s="445" t="str">
        <f ca="1">IF(ROWS($1:15)&gt;COUNT(Dong6),"",OFFSET(TH!J$1,SMALL(Dong6,ROWS($1:15)),))</f>
        <v>3388</v>
      </c>
      <c r="H25" s="445" t="str">
        <f ca="1">IF(ROWS($1:15)&gt;COUNT(Dong6),"",OFFSET(TH!K$1,SMALL(Dong6,ROWS($1:15)),))</f>
        <v>1111</v>
      </c>
      <c r="I25" s="63">
        <f t="shared" ca="1" si="0"/>
        <v>15</v>
      </c>
      <c r="J25" s="395">
        <f t="shared" ca="1" si="1"/>
        <v>0</v>
      </c>
      <c r="K25" s="395">
        <f t="shared" ca="1" si="2"/>
        <v>1500000</v>
      </c>
      <c r="L25" s="395">
        <f t="shared" ca="1" si="3"/>
        <v>0</v>
      </c>
      <c r="M25" s="395">
        <f t="shared" ca="1" si="4"/>
        <v>0</v>
      </c>
      <c r="N25" s="395">
        <f t="shared" ca="1" si="5"/>
        <v>0</v>
      </c>
      <c r="O25" s="395">
        <f t="shared" ca="1" si="6"/>
        <v>0</v>
      </c>
      <c r="P25" s="395">
        <f t="shared" ca="1" si="7"/>
        <v>0</v>
      </c>
      <c r="Q25" s="395">
        <f t="shared" ca="1" si="8"/>
        <v>0</v>
      </c>
      <c r="R25" s="395">
        <f t="shared" ca="1" si="39"/>
        <v>0</v>
      </c>
      <c r="S25" s="395">
        <f t="shared" ca="1" si="40"/>
        <v>0</v>
      </c>
      <c r="T25" s="395">
        <f t="shared" ca="1" si="9"/>
        <v>0</v>
      </c>
      <c r="U25" s="395">
        <f t="shared" ca="1" si="10"/>
        <v>0</v>
      </c>
      <c r="V25" s="395">
        <f t="shared" ca="1" si="11"/>
        <v>0</v>
      </c>
      <c r="W25" s="395">
        <f t="shared" ca="1" si="12"/>
        <v>0</v>
      </c>
      <c r="X25" s="395">
        <f t="shared" ca="1" si="13"/>
        <v>0</v>
      </c>
      <c r="Y25" s="395">
        <f t="shared" ca="1" si="14"/>
        <v>0</v>
      </c>
      <c r="Z25" s="395">
        <f t="shared" ca="1" si="15"/>
        <v>1500000</v>
      </c>
      <c r="AA25" s="395">
        <f t="shared" ca="1" si="16"/>
        <v>0</v>
      </c>
      <c r="AB25" s="395">
        <f t="shared" ca="1" si="17"/>
        <v>0</v>
      </c>
      <c r="AC25" s="395">
        <f t="shared" ca="1" si="18"/>
        <v>0</v>
      </c>
      <c r="AD25" s="395">
        <f t="shared" ca="1" si="19"/>
        <v>0</v>
      </c>
      <c r="AE25" s="395">
        <f t="shared" ca="1" si="20"/>
        <v>0</v>
      </c>
      <c r="AF25" s="395">
        <f t="shared" ca="1" si="21"/>
        <v>0</v>
      </c>
      <c r="AG25" s="395">
        <f t="shared" ca="1" si="22"/>
        <v>0</v>
      </c>
      <c r="AH25" s="395">
        <f t="shared" ca="1" si="23"/>
        <v>0</v>
      </c>
      <c r="AI25" s="395">
        <f t="shared" ca="1" si="24"/>
        <v>0</v>
      </c>
      <c r="AJ25" s="395">
        <f t="shared" ca="1" si="25"/>
        <v>0</v>
      </c>
      <c r="AK25" s="395">
        <f t="shared" ca="1" si="26"/>
        <v>0</v>
      </c>
      <c r="AL25" s="395">
        <f t="shared" ca="1" si="27"/>
        <v>0</v>
      </c>
      <c r="AM25" s="395">
        <f t="shared" ca="1" si="28"/>
        <v>0</v>
      </c>
      <c r="AN25" s="395">
        <f t="shared" ca="1" si="29"/>
        <v>0</v>
      </c>
      <c r="AO25" s="395">
        <f t="shared" ca="1" si="30"/>
        <v>0</v>
      </c>
      <c r="AP25" s="395">
        <f t="shared" ca="1" si="31"/>
        <v>0</v>
      </c>
      <c r="AQ25" s="395">
        <f t="shared" ca="1" si="32"/>
        <v>0</v>
      </c>
      <c r="AR25" s="395">
        <f t="shared" ca="1" si="33"/>
        <v>0</v>
      </c>
      <c r="AS25" s="395">
        <f t="shared" ca="1" si="34"/>
        <v>0</v>
      </c>
      <c r="AT25" s="395">
        <f t="shared" ca="1" si="35"/>
        <v>0</v>
      </c>
      <c r="AU25" s="395">
        <f t="shared" ca="1" si="36"/>
        <v>0</v>
      </c>
      <c r="AV25" s="395">
        <f t="shared" ca="1" si="37"/>
        <v>0</v>
      </c>
      <c r="AW25" s="395">
        <f t="shared" ca="1" si="38"/>
        <v>0</v>
      </c>
    </row>
    <row r="26" spans="1:49" s="392" customFormat="1" ht="12.75" customHeight="1">
      <c r="A26" s="63">
        <f t="array" aca="1" ref="A26" ca="1">IF(C26&lt;&gt;0,SUM(($C$11:C26&lt;&gt;0)*1),"")</f>
        <v>16</v>
      </c>
      <c r="B26" s="393">
        <f ca="1">IF(ROWS($1:16)&gt;COUNT(Dong6),"",OFFSET(TH!C$1,SMALL(Dong6,ROWS($1:16)),))</f>
        <v>41660</v>
      </c>
      <c r="C26" s="393" t="str">
        <f ca="1">IF(ROWS($1:16)&gt;COUNT(Dong6),"",OFFSET(TH!D$1,SMALL(Dong6,ROWS($1:16)),))</f>
        <v>GBC</v>
      </c>
      <c r="D26" s="393">
        <f ca="1">IF(ROWS($1:16)&gt;COUNT(Dong6),"",OFFSET(TH!E$1,SMALL(Dong6,ROWS($1:16)),))</f>
        <v>41660</v>
      </c>
      <c r="E26" s="443" t="str">
        <f ca="1">IF(ROWS($1:16)&gt;COUNT(Dong6),"",OFFSET(TH!F$1,SMALL(Dong6,ROWS($1:16)),))</f>
        <v>An Lạc LA- Ứng vốn</v>
      </c>
      <c r="F26" s="444">
        <f ca="1">IF(ROWS($1:16)&gt;COUNT(Dong6),"",OFFSET(TH!I$1,SMALL(Dong6,ROWS($1:16)),))</f>
        <v>1500000</v>
      </c>
      <c r="G26" s="445" t="str">
        <f ca="1">IF(ROWS($1:16)&gt;COUNT(Dong6),"",OFFSET(TH!J$1,SMALL(Dong6,ROWS($1:16)),))</f>
        <v>1121</v>
      </c>
      <c r="H26" s="445" t="str">
        <f ca="1">IF(ROWS($1:16)&gt;COUNT(Dong6),"",OFFSET(TH!K$1,SMALL(Dong6,ROWS($1:16)),))</f>
        <v>3388</v>
      </c>
      <c r="I26" s="63">
        <f t="shared" ca="1" si="0"/>
        <v>16</v>
      </c>
      <c r="J26" s="395">
        <f t="shared" ca="1" si="1"/>
        <v>0</v>
      </c>
      <c r="K26" s="395">
        <f t="shared" ca="1" si="2"/>
        <v>0</v>
      </c>
      <c r="L26" s="395">
        <f t="shared" ca="1" si="3"/>
        <v>1500000</v>
      </c>
      <c r="M26" s="395">
        <f t="shared" ca="1" si="4"/>
        <v>0</v>
      </c>
      <c r="N26" s="395">
        <f t="shared" ca="1" si="5"/>
        <v>0</v>
      </c>
      <c r="O26" s="395">
        <f t="shared" ca="1" si="6"/>
        <v>0</v>
      </c>
      <c r="P26" s="395">
        <f t="shared" ca="1" si="7"/>
        <v>0</v>
      </c>
      <c r="Q26" s="395">
        <f t="shared" ca="1" si="8"/>
        <v>0</v>
      </c>
      <c r="R26" s="395">
        <f t="shared" ca="1" si="39"/>
        <v>0</v>
      </c>
      <c r="S26" s="395">
        <f t="shared" ca="1" si="40"/>
        <v>0</v>
      </c>
      <c r="T26" s="395">
        <f t="shared" ca="1" si="9"/>
        <v>0</v>
      </c>
      <c r="U26" s="395">
        <f t="shared" ca="1" si="10"/>
        <v>0</v>
      </c>
      <c r="V26" s="395">
        <f t="shared" ca="1" si="11"/>
        <v>0</v>
      </c>
      <c r="W26" s="395">
        <f t="shared" ca="1" si="12"/>
        <v>0</v>
      </c>
      <c r="X26" s="395">
        <f t="shared" ca="1" si="13"/>
        <v>0</v>
      </c>
      <c r="Y26" s="395">
        <f t="shared" ca="1" si="14"/>
        <v>0</v>
      </c>
      <c r="Z26" s="395">
        <f t="shared" ca="1" si="15"/>
        <v>0</v>
      </c>
      <c r="AA26" s="395">
        <f t="shared" ca="1" si="16"/>
        <v>1500000</v>
      </c>
      <c r="AB26" s="395">
        <f t="shared" ca="1" si="17"/>
        <v>0</v>
      </c>
      <c r="AC26" s="395">
        <f t="shared" ca="1" si="18"/>
        <v>0</v>
      </c>
      <c r="AD26" s="395">
        <f t="shared" ca="1" si="19"/>
        <v>0</v>
      </c>
      <c r="AE26" s="395">
        <f t="shared" ca="1" si="20"/>
        <v>0</v>
      </c>
      <c r="AF26" s="395">
        <f t="shared" ca="1" si="21"/>
        <v>0</v>
      </c>
      <c r="AG26" s="395">
        <f t="shared" ca="1" si="22"/>
        <v>0</v>
      </c>
      <c r="AH26" s="395">
        <f t="shared" ca="1" si="23"/>
        <v>0</v>
      </c>
      <c r="AI26" s="395">
        <f t="shared" ca="1" si="24"/>
        <v>0</v>
      </c>
      <c r="AJ26" s="395">
        <f t="shared" ca="1" si="25"/>
        <v>0</v>
      </c>
      <c r="AK26" s="395">
        <f t="shared" ca="1" si="26"/>
        <v>0</v>
      </c>
      <c r="AL26" s="395">
        <f t="shared" ca="1" si="27"/>
        <v>0</v>
      </c>
      <c r="AM26" s="395">
        <f t="shared" ca="1" si="28"/>
        <v>0</v>
      </c>
      <c r="AN26" s="395">
        <f t="shared" ca="1" si="29"/>
        <v>0</v>
      </c>
      <c r="AO26" s="395">
        <f t="shared" ca="1" si="30"/>
        <v>0</v>
      </c>
      <c r="AP26" s="395">
        <f t="shared" ca="1" si="31"/>
        <v>0</v>
      </c>
      <c r="AQ26" s="395">
        <f t="shared" ca="1" si="32"/>
        <v>0</v>
      </c>
      <c r="AR26" s="395">
        <f t="shared" ca="1" si="33"/>
        <v>0</v>
      </c>
      <c r="AS26" s="395">
        <f t="shared" ca="1" si="34"/>
        <v>0</v>
      </c>
      <c r="AT26" s="395">
        <f t="shared" ca="1" si="35"/>
        <v>0</v>
      </c>
      <c r="AU26" s="395">
        <f t="shared" ca="1" si="36"/>
        <v>0</v>
      </c>
      <c r="AV26" s="395">
        <f t="shared" ca="1" si="37"/>
        <v>0</v>
      </c>
      <c r="AW26" s="395">
        <f t="shared" ca="1" si="38"/>
        <v>0</v>
      </c>
    </row>
    <row r="27" spans="1:49" s="392" customFormat="1" ht="12.75" customHeight="1">
      <c r="A27" s="63">
        <f t="array" aca="1" ref="A27" ca="1">IF(C27&lt;&gt;0,SUM(($C$11:C27&lt;&gt;0)*1),"")</f>
        <v>17</v>
      </c>
      <c r="B27" s="393">
        <f ca="1">IF(ROWS($1:17)&gt;COUNT(Dong6),"",OFFSET(TH!C$1,SMALL(Dong6,ROWS($1:17)),))</f>
        <v>41660</v>
      </c>
      <c r="C27" s="393" t="str">
        <f ca="1">IF(ROWS($1:17)&gt;COUNT(Dong6),"",OFFSET(TH!D$1,SMALL(Dong6,ROWS($1:17)),))</f>
        <v>CTGS</v>
      </c>
      <c r="D27" s="393">
        <f ca="1">IF(ROWS($1:17)&gt;COUNT(Dong6),"",OFFSET(TH!E$1,SMALL(Dong6,ROWS($1:17)),))</f>
        <v>41660</v>
      </c>
      <c r="E27" s="443" t="str">
        <f ca="1">IF(ROWS($1:17)&gt;COUNT(Dong6),"",OFFSET(TH!F$1,SMALL(Dong6,ROWS($1:17)),))</f>
        <v>Thuế môn bài 2014</v>
      </c>
      <c r="F27" s="444">
        <f ca="1">IF(ROWS($1:17)&gt;COUNT(Dong6),"",OFFSET(TH!I$1,SMALL(Dong6,ROWS($1:17)),))</f>
        <v>1500000</v>
      </c>
      <c r="G27" s="445" t="str">
        <f ca="1">IF(ROWS($1:17)&gt;COUNT(Dong6),"",OFFSET(TH!J$1,SMALL(Dong6,ROWS($1:17)),))</f>
        <v>642</v>
      </c>
      <c r="H27" s="445" t="str">
        <f ca="1">IF(ROWS($1:17)&gt;COUNT(Dong6),"",OFFSET(TH!K$1,SMALL(Dong6,ROWS($1:17)),))</f>
        <v>33382</v>
      </c>
      <c r="I27" s="63">
        <f t="shared" ca="1" si="0"/>
        <v>17</v>
      </c>
      <c r="J27" s="395">
        <f t="shared" ca="1" si="1"/>
        <v>0</v>
      </c>
      <c r="K27" s="395">
        <f t="shared" ca="1" si="2"/>
        <v>0</v>
      </c>
      <c r="L27" s="395">
        <f t="shared" ca="1" si="3"/>
        <v>0</v>
      </c>
      <c r="M27" s="395">
        <f t="shared" ca="1" si="4"/>
        <v>0</v>
      </c>
      <c r="N27" s="395">
        <f t="shared" ca="1" si="5"/>
        <v>0</v>
      </c>
      <c r="O27" s="395">
        <f t="shared" ca="1" si="6"/>
        <v>0</v>
      </c>
      <c r="P27" s="395">
        <f t="shared" ca="1" si="7"/>
        <v>0</v>
      </c>
      <c r="Q27" s="395">
        <f t="shared" ca="1" si="8"/>
        <v>0</v>
      </c>
      <c r="R27" s="395">
        <f t="shared" ca="1" si="39"/>
        <v>0</v>
      </c>
      <c r="S27" s="395">
        <f t="shared" ca="1" si="40"/>
        <v>0</v>
      </c>
      <c r="T27" s="395">
        <f t="shared" ca="1" si="9"/>
        <v>0</v>
      </c>
      <c r="U27" s="395">
        <f t="shared" ca="1" si="10"/>
        <v>0</v>
      </c>
      <c r="V27" s="395">
        <f t="shared" ca="1" si="11"/>
        <v>0</v>
      </c>
      <c r="W27" s="395">
        <f t="shared" ca="1" si="12"/>
        <v>0</v>
      </c>
      <c r="X27" s="395">
        <f t="shared" ca="1" si="13"/>
        <v>0</v>
      </c>
      <c r="Y27" s="395">
        <f t="shared" ca="1" si="14"/>
        <v>1500000</v>
      </c>
      <c r="Z27" s="395">
        <f t="shared" ca="1" si="15"/>
        <v>0</v>
      </c>
      <c r="AA27" s="395">
        <f t="shared" ca="1" si="16"/>
        <v>0</v>
      </c>
      <c r="AB27" s="395">
        <f t="shared" ca="1" si="17"/>
        <v>0</v>
      </c>
      <c r="AC27" s="395">
        <f t="shared" ca="1" si="18"/>
        <v>0</v>
      </c>
      <c r="AD27" s="395">
        <f t="shared" ca="1" si="19"/>
        <v>0</v>
      </c>
      <c r="AE27" s="395">
        <f t="shared" ca="1" si="20"/>
        <v>0</v>
      </c>
      <c r="AF27" s="395">
        <f t="shared" ca="1" si="21"/>
        <v>0</v>
      </c>
      <c r="AG27" s="395">
        <f t="shared" ca="1" si="22"/>
        <v>0</v>
      </c>
      <c r="AH27" s="395">
        <f t="shared" ca="1" si="23"/>
        <v>0</v>
      </c>
      <c r="AI27" s="395">
        <f t="shared" ca="1" si="24"/>
        <v>0</v>
      </c>
      <c r="AJ27" s="395">
        <f t="shared" ca="1" si="25"/>
        <v>0</v>
      </c>
      <c r="AK27" s="395">
        <f t="shared" ca="1" si="26"/>
        <v>0</v>
      </c>
      <c r="AL27" s="395">
        <f t="shared" ca="1" si="27"/>
        <v>0</v>
      </c>
      <c r="AM27" s="395">
        <f t="shared" ca="1" si="28"/>
        <v>0</v>
      </c>
      <c r="AN27" s="395">
        <f t="shared" ca="1" si="29"/>
        <v>1500000</v>
      </c>
      <c r="AO27" s="395">
        <f t="shared" ca="1" si="30"/>
        <v>0</v>
      </c>
      <c r="AP27" s="395">
        <f t="shared" ca="1" si="31"/>
        <v>0</v>
      </c>
      <c r="AQ27" s="395">
        <f t="shared" ca="1" si="32"/>
        <v>0</v>
      </c>
      <c r="AR27" s="395">
        <f t="shared" ca="1" si="33"/>
        <v>0</v>
      </c>
      <c r="AS27" s="395">
        <f t="shared" ca="1" si="34"/>
        <v>0</v>
      </c>
      <c r="AT27" s="395">
        <f t="shared" ca="1" si="35"/>
        <v>0</v>
      </c>
      <c r="AU27" s="395">
        <f t="shared" ca="1" si="36"/>
        <v>0</v>
      </c>
      <c r="AV27" s="395">
        <f t="shared" ca="1" si="37"/>
        <v>0</v>
      </c>
      <c r="AW27" s="395">
        <f t="shared" ca="1" si="38"/>
        <v>0</v>
      </c>
    </row>
    <row r="28" spans="1:49" s="392" customFormat="1" ht="12.75" customHeight="1">
      <c r="A28" s="63">
        <f t="array" aca="1" ref="A28" ca="1">IF(C28&lt;&gt;0,SUM(($C$11:C28&lt;&gt;0)*1),"")</f>
        <v>18</v>
      </c>
      <c r="B28" s="393">
        <f ca="1">IF(ROWS($1:18)&gt;COUNT(Dong6),"",OFFSET(TH!C$1,SMALL(Dong6,ROWS($1:18)),))</f>
        <v>41660</v>
      </c>
      <c r="C28" s="393" t="str">
        <f ca="1">IF(ROWS($1:18)&gt;COUNT(Dong6),"",OFFSET(TH!D$1,SMALL(Dong6,ROWS($1:18)),))</f>
        <v>GBN</v>
      </c>
      <c r="D28" s="393">
        <f ca="1">IF(ROWS($1:18)&gt;COUNT(Dong6),"",OFFSET(TH!E$1,SMALL(Dong6,ROWS($1:18)),))</f>
        <v>41660</v>
      </c>
      <c r="E28" s="443" t="str">
        <f ca="1">IF(ROWS($1:18)&gt;COUNT(Dong6),"",OFFSET(TH!F$1,SMALL(Dong6,ROWS($1:18)),))</f>
        <v>Thuế môn bài 2014</v>
      </c>
      <c r="F28" s="444">
        <f ca="1">IF(ROWS($1:18)&gt;COUNT(Dong6),"",OFFSET(TH!I$1,SMALL(Dong6,ROWS($1:18)),))</f>
        <v>1500000</v>
      </c>
      <c r="G28" s="445" t="str">
        <f ca="1">IF(ROWS($1:18)&gt;COUNT(Dong6),"",OFFSET(TH!J$1,SMALL(Dong6,ROWS($1:18)),))</f>
        <v>33382</v>
      </c>
      <c r="H28" s="445" t="str">
        <f ca="1">IF(ROWS($1:18)&gt;COUNT(Dong6),"",OFFSET(TH!K$1,SMALL(Dong6,ROWS($1:18)),))</f>
        <v>1121</v>
      </c>
      <c r="I28" s="63">
        <f t="shared" ca="1" si="0"/>
        <v>18</v>
      </c>
      <c r="J28" s="395">
        <f t="shared" ca="1" si="1"/>
        <v>0</v>
      </c>
      <c r="K28" s="395">
        <f t="shared" ca="1" si="2"/>
        <v>0</v>
      </c>
      <c r="L28" s="395">
        <f t="shared" ca="1" si="3"/>
        <v>0</v>
      </c>
      <c r="M28" s="395">
        <f t="shared" ca="1" si="4"/>
        <v>1500000</v>
      </c>
      <c r="N28" s="395">
        <f t="shared" ca="1" si="5"/>
        <v>0</v>
      </c>
      <c r="O28" s="395">
        <f t="shared" ca="1" si="6"/>
        <v>0</v>
      </c>
      <c r="P28" s="395">
        <f t="shared" ca="1" si="7"/>
        <v>0</v>
      </c>
      <c r="Q28" s="395">
        <f t="shared" ca="1" si="8"/>
        <v>0</v>
      </c>
      <c r="R28" s="395">
        <f t="shared" ca="1" si="39"/>
        <v>0</v>
      </c>
      <c r="S28" s="395">
        <f t="shared" ca="1" si="40"/>
        <v>0</v>
      </c>
      <c r="T28" s="395">
        <f t="shared" ca="1" si="9"/>
        <v>0</v>
      </c>
      <c r="U28" s="395">
        <f t="shared" ca="1" si="10"/>
        <v>0</v>
      </c>
      <c r="V28" s="395">
        <f t="shared" ca="1" si="11"/>
        <v>0</v>
      </c>
      <c r="W28" s="395">
        <f t="shared" ca="1" si="12"/>
        <v>0</v>
      </c>
      <c r="X28" s="395">
        <f t="shared" ca="1" si="13"/>
        <v>1500000</v>
      </c>
      <c r="Y28" s="395">
        <f t="shared" ca="1" si="14"/>
        <v>0</v>
      </c>
      <c r="Z28" s="395">
        <f t="shared" ca="1" si="15"/>
        <v>0</v>
      </c>
      <c r="AA28" s="395">
        <f t="shared" ca="1" si="16"/>
        <v>0</v>
      </c>
      <c r="AB28" s="395">
        <f t="shared" ca="1" si="17"/>
        <v>0</v>
      </c>
      <c r="AC28" s="395">
        <f t="shared" ca="1" si="18"/>
        <v>0</v>
      </c>
      <c r="AD28" s="395">
        <f t="shared" ca="1" si="19"/>
        <v>0</v>
      </c>
      <c r="AE28" s="395">
        <f t="shared" ca="1" si="20"/>
        <v>0</v>
      </c>
      <c r="AF28" s="395">
        <f t="shared" ca="1" si="21"/>
        <v>0</v>
      </c>
      <c r="AG28" s="395">
        <f t="shared" ca="1" si="22"/>
        <v>0</v>
      </c>
      <c r="AH28" s="395">
        <f t="shared" ca="1" si="23"/>
        <v>0</v>
      </c>
      <c r="AI28" s="395">
        <f t="shared" ca="1" si="24"/>
        <v>0</v>
      </c>
      <c r="AJ28" s="395">
        <f t="shared" ca="1" si="25"/>
        <v>0</v>
      </c>
      <c r="AK28" s="395">
        <f t="shared" ca="1" si="26"/>
        <v>0</v>
      </c>
      <c r="AL28" s="395">
        <f t="shared" ca="1" si="27"/>
        <v>0</v>
      </c>
      <c r="AM28" s="395">
        <f t="shared" ca="1" si="28"/>
        <v>0</v>
      </c>
      <c r="AN28" s="395">
        <f t="shared" ca="1" si="29"/>
        <v>0</v>
      </c>
      <c r="AO28" s="395">
        <f t="shared" ca="1" si="30"/>
        <v>0</v>
      </c>
      <c r="AP28" s="395">
        <f t="shared" ca="1" si="31"/>
        <v>0</v>
      </c>
      <c r="AQ28" s="395">
        <f t="shared" ca="1" si="32"/>
        <v>0</v>
      </c>
      <c r="AR28" s="395">
        <f t="shared" ca="1" si="33"/>
        <v>0</v>
      </c>
      <c r="AS28" s="395">
        <f t="shared" ca="1" si="34"/>
        <v>0</v>
      </c>
      <c r="AT28" s="395">
        <f t="shared" ca="1" si="35"/>
        <v>0</v>
      </c>
      <c r="AU28" s="395">
        <f t="shared" ca="1" si="36"/>
        <v>0</v>
      </c>
      <c r="AV28" s="395">
        <f t="shared" ca="1" si="37"/>
        <v>0</v>
      </c>
      <c r="AW28" s="395">
        <f t="shared" ca="1" si="38"/>
        <v>0</v>
      </c>
    </row>
    <row r="29" spans="1:49" s="392" customFormat="1" ht="12.75" customHeight="1">
      <c r="A29" s="63">
        <f t="array" aca="1" ref="A29" ca="1">IF(C29&lt;&gt;0,SUM(($C$11:C29&lt;&gt;0)*1),"")</f>
        <v>19</v>
      </c>
      <c r="B29" s="393">
        <f ca="1">IF(ROWS($1:19)&gt;COUNT(Dong6),"",OFFSET(TH!C$1,SMALL(Dong6,ROWS($1:19)),))</f>
        <v>41660</v>
      </c>
      <c r="C29" s="393" t="str">
        <f ca="1">IF(ROWS($1:19)&gt;COUNT(Dong6),"",OFFSET(TH!D$1,SMALL(Dong6,ROWS($1:19)),))</f>
        <v>GBN</v>
      </c>
      <c r="D29" s="393">
        <f ca="1">IF(ROWS($1:19)&gt;COUNT(Dong6),"",OFFSET(TH!E$1,SMALL(Dong6,ROWS($1:19)),))</f>
        <v>41660</v>
      </c>
      <c r="E29" s="443" t="str">
        <f ca="1">IF(ROWS($1:19)&gt;COUNT(Dong6),"",OFFSET(TH!F$1,SMALL(Dong6,ROWS($1:19)),))</f>
        <v xml:space="preserve">Phí chuyển tiền </v>
      </c>
      <c r="F29" s="444">
        <f ca="1">IF(ROWS($1:19)&gt;COUNT(Dong6),"",OFFSET(TH!I$1,SMALL(Dong6,ROWS($1:19)),))</f>
        <v>20000</v>
      </c>
      <c r="G29" s="445" t="str">
        <f ca="1">IF(ROWS($1:19)&gt;COUNT(Dong6),"",OFFSET(TH!J$1,SMALL(Dong6,ROWS($1:19)),))</f>
        <v>642</v>
      </c>
      <c r="H29" s="445" t="str">
        <f ca="1">IF(ROWS($1:19)&gt;COUNT(Dong6),"",OFFSET(TH!K$1,SMALL(Dong6,ROWS($1:19)),))</f>
        <v>1121</v>
      </c>
      <c r="I29" s="63">
        <f t="shared" ca="1" si="0"/>
        <v>19</v>
      </c>
      <c r="J29" s="395">
        <f t="shared" ca="1" si="1"/>
        <v>0</v>
      </c>
      <c r="K29" s="395">
        <f t="shared" ca="1" si="2"/>
        <v>0</v>
      </c>
      <c r="L29" s="395">
        <f t="shared" ca="1" si="3"/>
        <v>0</v>
      </c>
      <c r="M29" s="395">
        <f t="shared" ca="1" si="4"/>
        <v>20000</v>
      </c>
      <c r="N29" s="395">
        <f t="shared" ca="1" si="5"/>
        <v>0</v>
      </c>
      <c r="O29" s="395">
        <f t="shared" ca="1" si="6"/>
        <v>0</v>
      </c>
      <c r="P29" s="395">
        <f t="shared" ca="1" si="7"/>
        <v>0</v>
      </c>
      <c r="Q29" s="395">
        <f t="shared" ca="1" si="8"/>
        <v>0</v>
      </c>
      <c r="R29" s="395">
        <f t="shared" ca="1" si="39"/>
        <v>0</v>
      </c>
      <c r="S29" s="395">
        <f t="shared" ca="1" si="40"/>
        <v>0</v>
      </c>
      <c r="T29" s="395">
        <f t="shared" ca="1" si="9"/>
        <v>0</v>
      </c>
      <c r="U29" s="395">
        <f t="shared" ca="1" si="10"/>
        <v>0</v>
      </c>
      <c r="V29" s="395">
        <f t="shared" ca="1" si="11"/>
        <v>0</v>
      </c>
      <c r="W29" s="395">
        <f t="shared" ca="1" si="12"/>
        <v>0</v>
      </c>
      <c r="X29" s="395">
        <f t="shared" ca="1" si="13"/>
        <v>0</v>
      </c>
      <c r="Y29" s="395">
        <f t="shared" ca="1" si="14"/>
        <v>0</v>
      </c>
      <c r="Z29" s="395">
        <f t="shared" ca="1" si="15"/>
        <v>0</v>
      </c>
      <c r="AA29" s="395">
        <f t="shared" ca="1" si="16"/>
        <v>0</v>
      </c>
      <c r="AB29" s="395">
        <f t="shared" ca="1" si="17"/>
        <v>0</v>
      </c>
      <c r="AC29" s="395">
        <f t="shared" ca="1" si="18"/>
        <v>0</v>
      </c>
      <c r="AD29" s="395">
        <f t="shared" ca="1" si="19"/>
        <v>0</v>
      </c>
      <c r="AE29" s="395">
        <f t="shared" ca="1" si="20"/>
        <v>0</v>
      </c>
      <c r="AF29" s="395">
        <f t="shared" ca="1" si="21"/>
        <v>0</v>
      </c>
      <c r="AG29" s="395">
        <f t="shared" ca="1" si="22"/>
        <v>0</v>
      </c>
      <c r="AH29" s="395">
        <f t="shared" ca="1" si="23"/>
        <v>0</v>
      </c>
      <c r="AI29" s="395">
        <f t="shared" ca="1" si="24"/>
        <v>0</v>
      </c>
      <c r="AJ29" s="395">
        <f t="shared" ca="1" si="25"/>
        <v>0</v>
      </c>
      <c r="AK29" s="395">
        <f t="shared" ca="1" si="26"/>
        <v>0</v>
      </c>
      <c r="AL29" s="395">
        <f t="shared" ca="1" si="27"/>
        <v>0</v>
      </c>
      <c r="AM29" s="395">
        <f t="shared" ca="1" si="28"/>
        <v>0</v>
      </c>
      <c r="AN29" s="395">
        <f t="shared" ca="1" si="29"/>
        <v>20000</v>
      </c>
      <c r="AO29" s="395">
        <f t="shared" ca="1" si="30"/>
        <v>0</v>
      </c>
      <c r="AP29" s="395">
        <f t="shared" ca="1" si="31"/>
        <v>0</v>
      </c>
      <c r="AQ29" s="395">
        <f t="shared" ca="1" si="32"/>
        <v>0</v>
      </c>
      <c r="AR29" s="395">
        <f t="shared" ca="1" si="33"/>
        <v>0</v>
      </c>
      <c r="AS29" s="395">
        <f t="shared" ca="1" si="34"/>
        <v>0</v>
      </c>
      <c r="AT29" s="395">
        <f t="shared" ca="1" si="35"/>
        <v>0</v>
      </c>
      <c r="AU29" s="395">
        <f t="shared" ca="1" si="36"/>
        <v>0</v>
      </c>
      <c r="AV29" s="395">
        <f t="shared" ca="1" si="37"/>
        <v>0</v>
      </c>
      <c r="AW29" s="395">
        <f t="shared" ca="1" si="38"/>
        <v>0</v>
      </c>
    </row>
    <row r="30" spans="1:49" s="392" customFormat="1" ht="12.75" customHeight="1">
      <c r="A30" s="63">
        <f t="array" aca="1" ref="A30" ca="1">IF(C30&lt;&gt;0,SUM(($C$11:C30&lt;&gt;0)*1),"")</f>
        <v>20</v>
      </c>
      <c r="B30" s="393">
        <f ca="1">IF(ROWS($1:20)&gt;COUNT(Dong6),"",OFFSET(TH!C$1,SMALL(Dong6,ROWS($1:20)),))</f>
        <v>41660</v>
      </c>
      <c r="C30" s="393" t="str">
        <f ca="1">IF(ROWS($1:20)&gt;COUNT(Dong6),"",OFFSET(TH!D$1,SMALL(Dong6,ROWS($1:20)),))</f>
        <v>GBN</v>
      </c>
      <c r="D30" s="393">
        <f ca="1">IF(ROWS($1:20)&gt;COUNT(Dong6),"",OFFSET(TH!E$1,SMALL(Dong6,ROWS($1:20)),))</f>
        <v>41660</v>
      </c>
      <c r="E30" s="443" t="str">
        <f ca="1">IF(ROWS($1:20)&gt;COUNT(Dong6),"",OFFSET(TH!F$1,SMALL(Dong6,ROWS($1:20)),))</f>
        <v xml:space="preserve">VAT Phí chuyển tiền </v>
      </c>
      <c r="F30" s="444">
        <f ca="1">IF(ROWS($1:20)&gt;COUNT(Dong6),"",OFFSET(TH!I$1,SMALL(Dong6,ROWS($1:20)),))</f>
        <v>2000</v>
      </c>
      <c r="G30" s="445" t="str">
        <f ca="1">IF(ROWS($1:20)&gt;COUNT(Dong6),"",OFFSET(TH!J$1,SMALL(Dong6,ROWS($1:20)),))</f>
        <v>1331</v>
      </c>
      <c r="H30" s="445" t="str">
        <f ca="1">IF(ROWS($1:20)&gt;COUNT(Dong6),"",OFFSET(TH!K$1,SMALL(Dong6,ROWS($1:20)),))</f>
        <v>1121</v>
      </c>
      <c r="I30" s="63">
        <f t="shared" ca="1" si="0"/>
        <v>20</v>
      </c>
      <c r="J30" s="395">
        <f t="shared" ca="1" si="1"/>
        <v>0</v>
      </c>
      <c r="K30" s="395">
        <f t="shared" ca="1" si="2"/>
        <v>0</v>
      </c>
      <c r="L30" s="395">
        <f t="shared" ca="1" si="3"/>
        <v>0</v>
      </c>
      <c r="M30" s="395">
        <f t="shared" ca="1" si="4"/>
        <v>2000</v>
      </c>
      <c r="N30" s="395">
        <f t="shared" ca="1" si="5"/>
        <v>2000</v>
      </c>
      <c r="O30" s="395">
        <f t="shared" ca="1" si="6"/>
        <v>0</v>
      </c>
      <c r="P30" s="395">
        <f t="shared" ca="1" si="7"/>
        <v>0</v>
      </c>
      <c r="Q30" s="395">
        <f t="shared" ca="1" si="8"/>
        <v>0</v>
      </c>
      <c r="R30" s="395">
        <f t="shared" ca="1" si="39"/>
        <v>0</v>
      </c>
      <c r="S30" s="395">
        <f t="shared" ca="1" si="40"/>
        <v>0</v>
      </c>
      <c r="T30" s="395">
        <f t="shared" ca="1" si="9"/>
        <v>0</v>
      </c>
      <c r="U30" s="395">
        <f t="shared" ca="1" si="10"/>
        <v>0</v>
      </c>
      <c r="V30" s="395">
        <f t="shared" ca="1" si="11"/>
        <v>0</v>
      </c>
      <c r="W30" s="395">
        <f t="shared" ca="1" si="12"/>
        <v>0</v>
      </c>
      <c r="X30" s="395">
        <f t="shared" ca="1" si="13"/>
        <v>0</v>
      </c>
      <c r="Y30" s="395">
        <f t="shared" ca="1" si="14"/>
        <v>0</v>
      </c>
      <c r="Z30" s="395">
        <f t="shared" ca="1" si="15"/>
        <v>0</v>
      </c>
      <c r="AA30" s="395">
        <f t="shared" ca="1" si="16"/>
        <v>0</v>
      </c>
      <c r="AB30" s="395">
        <f t="shared" ca="1" si="17"/>
        <v>0</v>
      </c>
      <c r="AC30" s="395">
        <f t="shared" ca="1" si="18"/>
        <v>0</v>
      </c>
      <c r="AD30" s="395">
        <f t="shared" ca="1" si="19"/>
        <v>0</v>
      </c>
      <c r="AE30" s="395">
        <f t="shared" ca="1" si="20"/>
        <v>0</v>
      </c>
      <c r="AF30" s="395">
        <f t="shared" ca="1" si="21"/>
        <v>0</v>
      </c>
      <c r="AG30" s="395">
        <f t="shared" ca="1" si="22"/>
        <v>0</v>
      </c>
      <c r="AH30" s="395">
        <f t="shared" ca="1" si="23"/>
        <v>0</v>
      </c>
      <c r="AI30" s="395">
        <f t="shared" ca="1" si="24"/>
        <v>0</v>
      </c>
      <c r="AJ30" s="395">
        <f t="shared" ca="1" si="25"/>
        <v>0</v>
      </c>
      <c r="AK30" s="395">
        <f t="shared" ca="1" si="26"/>
        <v>0</v>
      </c>
      <c r="AL30" s="395">
        <f t="shared" ca="1" si="27"/>
        <v>0</v>
      </c>
      <c r="AM30" s="395">
        <f t="shared" ca="1" si="28"/>
        <v>0</v>
      </c>
      <c r="AN30" s="395">
        <f t="shared" ca="1" si="29"/>
        <v>0</v>
      </c>
      <c r="AO30" s="395">
        <f t="shared" ca="1" si="30"/>
        <v>0</v>
      </c>
      <c r="AP30" s="395">
        <f t="shared" ca="1" si="31"/>
        <v>0</v>
      </c>
      <c r="AQ30" s="395">
        <f t="shared" ca="1" si="32"/>
        <v>0</v>
      </c>
      <c r="AR30" s="395">
        <f t="shared" ca="1" si="33"/>
        <v>0</v>
      </c>
      <c r="AS30" s="395">
        <f t="shared" ca="1" si="34"/>
        <v>0</v>
      </c>
      <c r="AT30" s="395">
        <f t="shared" ca="1" si="35"/>
        <v>0</v>
      </c>
      <c r="AU30" s="395">
        <f t="shared" ca="1" si="36"/>
        <v>0</v>
      </c>
      <c r="AV30" s="395">
        <f t="shared" ca="1" si="37"/>
        <v>0</v>
      </c>
      <c r="AW30" s="395">
        <f t="shared" ca="1" si="38"/>
        <v>0</v>
      </c>
    </row>
    <row r="31" spans="1:49" s="392" customFormat="1" ht="12.75" customHeight="1">
      <c r="A31" s="63">
        <f t="array" aca="1" ref="A31" ca="1">IF(C31&lt;&gt;0,SUM(($C$11:C31&lt;&gt;0)*1),"")</f>
        <v>21</v>
      </c>
      <c r="B31" s="393">
        <f ca="1">IF(ROWS($1:21)&gt;COUNT(Dong6),"",OFFSET(TH!C$1,SMALL(Dong6,ROWS($1:21)),))</f>
        <v>41664</v>
      </c>
      <c r="C31" s="393" t="str">
        <f ca="1">IF(ROWS($1:21)&gt;COUNT(Dong6),"",OFFSET(TH!D$1,SMALL(Dong6,ROWS($1:21)),))</f>
        <v>C04</v>
      </c>
      <c r="D31" s="393">
        <f ca="1">IF(ROWS($1:21)&gt;COUNT(Dong6),"",OFFSET(TH!E$1,SMALL(Dong6,ROWS($1:21)),))</f>
        <v>41664</v>
      </c>
      <c r="E31" s="443" t="str">
        <f ca="1">IF(ROWS($1:21)&gt;COUNT(Dong6),"",OFFSET(TH!F$1,SMALL(Dong6,ROWS($1:21)),))</f>
        <v>Nộp tiền mặt vào tài khoản ngân hàng</v>
      </c>
      <c r="F31" s="444">
        <f ca="1">IF(ROWS($1:21)&gt;COUNT(Dong6),"",OFFSET(TH!I$1,SMALL(Dong6,ROWS($1:21)),))</f>
        <v>64000000</v>
      </c>
      <c r="G31" s="445" t="str">
        <f ca="1">IF(ROWS($1:21)&gt;COUNT(Dong6),"",OFFSET(TH!J$1,SMALL(Dong6,ROWS($1:21)),))</f>
        <v>1121</v>
      </c>
      <c r="H31" s="445" t="str">
        <f ca="1">IF(ROWS($1:21)&gt;COUNT(Dong6),"",OFFSET(TH!K$1,SMALL(Dong6,ROWS($1:21)),))</f>
        <v>1111</v>
      </c>
      <c r="I31" s="63">
        <f t="shared" ca="1" si="0"/>
        <v>21</v>
      </c>
      <c r="J31" s="395">
        <f t="shared" ca="1" si="1"/>
        <v>0</v>
      </c>
      <c r="K31" s="395">
        <f t="shared" ca="1" si="2"/>
        <v>64000000</v>
      </c>
      <c r="L31" s="395">
        <f t="shared" ca="1" si="3"/>
        <v>64000000</v>
      </c>
      <c r="M31" s="395">
        <f t="shared" ca="1" si="4"/>
        <v>0</v>
      </c>
      <c r="N31" s="395">
        <f t="shared" ca="1" si="5"/>
        <v>0</v>
      </c>
      <c r="O31" s="395">
        <f t="shared" ca="1" si="6"/>
        <v>0</v>
      </c>
      <c r="P31" s="395">
        <f t="shared" ca="1" si="7"/>
        <v>0</v>
      </c>
      <c r="Q31" s="395">
        <f t="shared" ca="1" si="8"/>
        <v>0</v>
      </c>
      <c r="R31" s="395">
        <f t="shared" ca="1" si="39"/>
        <v>0</v>
      </c>
      <c r="S31" s="395">
        <f t="shared" ca="1" si="40"/>
        <v>0</v>
      </c>
      <c r="T31" s="395">
        <f t="shared" ca="1" si="9"/>
        <v>0</v>
      </c>
      <c r="U31" s="395">
        <f t="shared" ca="1" si="10"/>
        <v>0</v>
      </c>
      <c r="V31" s="395">
        <f t="shared" ca="1" si="11"/>
        <v>0</v>
      </c>
      <c r="W31" s="395">
        <f t="shared" ca="1" si="12"/>
        <v>0</v>
      </c>
      <c r="X31" s="395">
        <f t="shared" ca="1" si="13"/>
        <v>0</v>
      </c>
      <c r="Y31" s="395">
        <f t="shared" ca="1" si="14"/>
        <v>0</v>
      </c>
      <c r="Z31" s="395">
        <f t="shared" ca="1" si="15"/>
        <v>0</v>
      </c>
      <c r="AA31" s="395">
        <f t="shared" ca="1" si="16"/>
        <v>0</v>
      </c>
      <c r="AB31" s="395">
        <f t="shared" ca="1" si="17"/>
        <v>0</v>
      </c>
      <c r="AC31" s="395">
        <f t="shared" ca="1" si="18"/>
        <v>0</v>
      </c>
      <c r="AD31" s="395">
        <f t="shared" ca="1" si="19"/>
        <v>0</v>
      </c>
      <c r="AE31" s="395">
        <f t="shared" ca="1" si="20"/>
        <v>0</v>
      </c>
      <c r="AF31" s="395">
        <f t="shared" ca="1" si="21"/>
        <v>0</v>
      </c>
      <c r="AG31" s="395">
        <f t="shared" ca="1" si="22"/>
        <v>0</v>
      </c>
      <c r="AH31" s="395">
        <f t="shared" ca="1" si="23"/>
        <v>0</v>
      </c>
      <c r="AI31" s="395">
        <f t="shared" ca="1" si="24"/>
        <v>0</v>
      </c>
      <c r="AJ31" s="395">
        <f t="shared" ca="1" si="25"/>
        <v>0</v>
      </c>
      <c r="AK31" s="395">
        <f t="shared" ca="1" si="26"/>
        <v>0</v>
      </c>
      <c r="AL31" s="395">
        <f t="shared" ca="1" si="27"/>
        <v>0</v>
      </c>
      <c r="AM31" s="395">
        <f t="shared" ca="1" si="28"/>
        <v>0</v>
      </c>
      <c r="AN31" s="395">
        <f t="shared" ca="1" si="29"/>
        <v>0</v>
      </c>
      <c r="AO31" s="395">
        <f t="shared" ca="1" si="30"/>
        <v>0</v>
      </c>
      <c r="AP31" s="395">
        <f t="shared" ca="1" si="31"/>
        <v>0</v>
      </c>
      <c r="AQ31" s="395">
        <f t="shared" ca="1" si="32"/>
        <v>0</v>
      </c>
      <c r="AR31" s="395">
        <f t="shared" ca="1" si="33"/>
        <v>0</v>
      </c>
      <c r="AS31" s="395">
        <f t="shared" ca="1" si="34"/>
        <v>0</v>
      </c>
      <c r="AT31" s="395">
        <f t="shared" ca="1" si="35"/>
        <v>0</v>
      </c>
      <c r="AU31" s="395">
        <f t="shared" ca="1" si="36"/>
        <v>0</v>
      </c>
      <c r="AV31" s="395">
        <f t="shared" ca="1" si="37"/>
        <v>0</v>
      </c>
      <c r="AW31" s="395">
        <f t="shared" ca="1" si="38"/>
        <v>0</v>
      </c>
    </row>
    <row r="32" spans="1:49" s="392" customFormat="1" ht="12.75" customHeight="1">
      <c r="A32" s="63">
        <f t="array" aca="1" ref="A32" ca="1">IF(C32&lt;&gt;0,SUM(($C$11:C32&lt;&gt;0)*1),"")</f>
        <v>22</v>
      </c>
      <c r="B32" s="393">
        <f ca="1">IF(ROWS($1:22)&gt;COUNT(Dong6),"",OFFSET(TH!C$1,SMALL(Dong6,ROWS($1:22)),))</f>
        <v>41664</v>
      </c>
      <c r="C32" s="393" t="str">
        <f ca="1">IF(ROWS($1:22)&gt;COUNT(Dong6),"",OFFSET(TH!D$1,SMALL(Dong6,ROWS($1:22)),))</f>
        <v>GBN</v>
      </c>
      <c r="D32" s="393">
        <f ca="1">IF(ROWS($1:22)&gt;COUNT(Dong6),"",OFFSET(TH!E$1,SMALL(Dong6,ROWS($1:22)),))</f>
        <v>41664</v>
      </c>
      <c r="E32" s="443" t="str">
        <f ca="1">IF(ROWS($1:22)&gt;COUNT(Dong6),"",OFFSET(TH!F$1,SMALL(Dong6,ROWS($1:22)),))</f>
        <v>Ứng tiền cọc betong IBS</v>
      </c>
      <c r="F32" s="444">
        <f ca="1">IF(ROWS($1:22)&gt;COUNT(Dong6),"",OFFSET(TH!I$1,SMALL(Dong6,ROWS($1:22)),))</f>
        <v>43824000</v>
      </c>
      <c r="G32" s="445" t="str">
        <f ca="1">IF(ROWS($1:22)&gt;COUNT(Dong6),"",OFFSET(TH!J$1,SMALL(Dong6,ROWS($1:22)),))</f>
        <v>331</v>
      </c>
      <c r="H32" s="445" t="str">
        <f ca="1">IF(ROWS($1:22)&gt;COUNT(Dong6),"",OFFSET(TH!K$1,SMALL(Dong6,ROWS($1:22)),))</f>
        <v>1121</v>
      </c>
      <c r="I32" s="63">
        <f t="shared" ca="1" si="0"/>
        <v>22</v>
      </c>
      <c r="J32" s="395">
        <f t="shared" ca="1" si="1"/>
        <v>0</v>
      </c>
      <c r="K32" s="395">
        <f t="shared" ca="1" si="2"/>
        <v>0</v>
      </c>
      <c r="L32" s="395">
        <f t="shared" ca="1" si="3"/>
        <v>0</v>
      </c>
      <c r="M32" s="395">
        <f t="shared" ca="1" si="4"/>
        <v>43824000</v>
      </c>
      <c r="N32" s="395">
        <f t="shared" ca="1" si="5"/>
        <v>0</v>
      </c>
      <c r="O32" s="395">
        <f t="shared" ca="1" si="6"/>
        <v>0</v>
      </c>
      <c r="P32" s="395">
        <f t="shared" ca="1" si="7"/>
        <v>0</v>
      </c>
      <c r="Q32" s="395">
        <f t="shared" ca="1" si="8"/>
        <v>0</v>
      </c>
      <c r="R32" s="395">
        <f t="shared" ca="1" si="39"/>
        <v>0</v>
      </c>
      <c r="S32" s="395">
        <f t="shared" ca="1" si="40"/>
        <v>0</v>
      </c>
      <c r="T32" s="395">
        <f t="shared" ca="1" si="9"/>
        <v>43824000</v>
      </c>
      <c r="U32" s="395">
        <f t="shared" ca="1" si="10"/>
        <v>0</v>
      </c>
      <c r="V32" s="395">
        <f t="shared" ca="1" si="11"/>
        <v>0</v>
      </c>
      <c r="W32" s="395">
        <f t="shared" ca="1" si="12"/>
        <v>0</v>
      </c>
      <c r="X32" s="395">
        <f t="shared" ca="1" si="13"/>
        <v>0</v>
      </c>
      <c r="Y32" s="395">
        <f t="shared" ca="1" si="14"/>
        <v>0</v>
      </c>
      <c r="Z32" s="395">
        <f t="shared" ca="1" si="15"/>
        <v>0</v>
      </c>
      <c r="AA32" s="395">
        <f t="shared" ca="1" si="16"/>
        <v>0</v>
      </c>
      <c r="AB32" s="395">
        <f t="shared" ca="1" si="17"/>
        <v>0</v>
      </c>
      <c r="AC32" s="395">
        <f t="shared" ca="1" si="18"/>
        <v>0</v>
      </c>
      <c r="AD32" s="395">
        <f t="shared" ca="1" si="19"/>
        <v>0</v>
      </c>
      <c r="AE32" s="395">
        <f t="shared" ca="1" si="20"/>
        <v>0</v>
      </c>
      <c r="AF32" s="395">
        <f t="shared" ca="1" si="21"/>
        <v>0</v>
      </c>
      <c r="AG32" s="395">
        <f t="shared" ca="1" si="22"/>
        <v>0</v>
      </c>
      <c r="AH32" s="395">
        <f t="shared" ca="1" si="23"/>
        <v>0</v>
      </c>
      <c r="AI32" s="395">
        <f t="shared" ca="1" si="24"/>
        <v>0</v>
      </c>
      <c r="AJ32" s="395">
        <f t="shared" ca="1" si="25"/>
        <v>0</v>
      </c>
      <c r="AK32" s="395">
        <f t="shared" ca="1" si="26"/>
        <v>0</v>
      </c>
      <c r="AL32" s="395">
        <f t="shared" ca="1" si="27"/>
        <v>0</v>
      </c>
      <c r="AM32" s="395">
        <f t="shared" ca="1" si="28"/>
        <v>0</v>
      </c>
      <c r="AN32" s="395">
        <f t="shared" ca="1" si="29"/>
        <v>0</v>
      </c>
      <c r="AO32" s="395">
        <f t="shared" ca="1" si="30"/>
        <v>0</v>
      </c>
      <c r="AP32" s="395">
        <f t="shared" ca="1" si="31"/>
        <v>0</v>
      </c>
      <c r="AQ32" s="395">
        <f t="shared" ca="1" si="32"/>
        <v>0</v>
      </c>
      <c r="AR32" s="395">
        <f t="shared" ca="1" si="33"/>
        <v>0</v>
      </c>
      <c r="AS32" s="395">
        <f t="shared" ca="1" si="34"/>
        <v>0</v>
      </c>
      <c r="AT32" s="395">
        <f t="shared" ca="1" si="35"/>
        <v>0</v>
      </c>
      <c r="AU32" s="395">
        <f t="shared" ca="1" si="36"/>
        <v>0</v>
      </c>
      <c r="AV32" s="395">
        <f t="shared" ca="1" si="37"/>
        <v>0</v>
      </c>
      <c r="AW32" s="395">
        <f t="shared" ca="1" si="38"/>
        <v>0</v>
      </c>
    </row>
    <row r="33" spans="1:49" s="392" customFormat="1" ht="12.75" customHeight="1">
      <c r="A33" s="63">
        <f t="array" aca="1" ref="A33" ca="1">IF(C33&lt;&gt;0,SUM(($C$11:C33&lt;&gt;0)*1),"")</f>
        <v>23</v>
      </c>
      <c r="B33" s="393">
        <f ca="1">IF(ROWS($1:23)&gt;COUNT(Dong6),"",OFFSET(TH!C$1,SMALL(Dong6,ROWS($1:23)),))</f>
        <v>41664</v>
      </c>
      <c r="C33" s="393" t="str">
        <f ca="1">IF(ROWS($1:23)&gt;COUNT(Dong6),"",OFFSET(TH!D$1,SMALL(Dong6,ROWS($1:23)),))</f>
        <v>GBN</v>
      </c>
      <c r="D33" s="393">
        <f ca="1">IF(ROWS($1:23)&gt;COUNT(Dong6),"",OFFSET(TH!E$1,SMALL(Dong6,ROWS($1:23)),))</f>
        <v>41664</v>
      </c>
      <c r="E33" s="443" t="str">
        <f ca="1">IF(ROWS($1:23)&gt;COUNT(Dong6),"",OFFSET(TH!F$1,SMALL(Dong6,ROWS($1:23)),))</f>
        <v xml:space="preserve">Phí chuyển tiền </v>
      </c>
      <c r="F33" s="444">
        <f ca="1">IF(ROWS($1:23)&gt;COUNT(Dong6),"",OFFSET(TH!I$1,SMALL(Dong6,ROWS($1:23)),))</f>
        <v>30000</v>
      </c>
      <c r="G33" s="445" t="str">
        <f ca="1">IF(ROWS($1:23)&gt;COUNT(Dong6),"",OFFSET(TH!J$1,SMALL(Dong6,ROWS($1:23)),))</f>
        <v>642</v>
      </c>
      <c r="H33" s="445" t="str">
        <f ca="1">IF(ROWS($1:23)&gt;COUNT(Dong6),"",OFFSET(TH!K$1,SMALL(Dong6,ROWS($1:23)),))</f>
        <v>1121</v>
      </c>
      <c r="I33" s="63">
        <f t="shared" ca="1" si="0"/>
        <v>23</v>
      </c>
      <c r="J33" s="395">
        <f t="shared" ca="1" si="1"/>
        <v>0</v>
      </c>
      <c r="K33" s="395">
        <f t="shared" ca="1" si="2"/>
        <v>0</v>
      </c>
      <c r="L33" s="395">
        <f t="shared" ca="1" si="3"/>
        <v>0</v>
      </c>
      <c r="M33" s="395">
        <f t="shared" ca="1" si="4"/>
        <v>30000</v>
      </c>
      <c r="N33" s="395">
        <f t="shared" ca="1" si="5"/>
        <v>0</v>
      </c>
      <c r="O33" s="395">
        <f t="shared" ca="1" si="6"/>
        <v>0</v>
      </c>
      <c r="P33" s="395">
        <f t="shared" ca="1" si="7"/>
        <v>0</v>
      </c>
      <c r="Q33" s="395">
        <f t="shared" ca="1" si="8"/>
        <v>0</v>
      </c>
      <c r="R33" s="395">
        <f t="shared" ca="1" si="39"/>
        <v>0</v>
      </c>
      <c r="S33" s="395">
        <f t="shared" ca="1" si="40"/>
        <v>0</v>
      </c>
      <c r="T33" s="395">
        <f t="shared" ca="1" si="9"/>
        <v>0</v>
      </c>
      <c r="U33" s="395">
        <f t="shared" ca="1" si="10"/>
        <v>0</v>
      </c>
      <c r="V33" s="395">
        <f t="shared" ca="1" si="11"/>
        <v>0</v>
      </c>
      <c r="W33" s="395">
        <f t="shared" ca="1" si="12"/>
        <v>0</v>
      </c>
      <c r="X33" s="395">
        <f t="shared" ca="1" si="13"/>
        <v>0</v>
      </c>
      <c r="Y33" s="395">
        <f t="shared" ca="1" si="14"/>
        <v>0</v>
      </c>
      <c r="Z33" s="395">
        <f t="shared" ca="1" si="15"/>
        <v>0</v>
      </c>
      <c r="AA33" s="395">
        <f t="shared" ca="1" si="16"/>
        <v>0</v>
      </c>
      <c r="AB33" s="395">
        <f t="shared" ca="1" si="17"/>
        <v>0</v>
      </c>
      <c r="AC33" s="395">
        <f t="shared" ca="1" si="18"/>
        <v>0</v>
      </c>
      <c r="AD33" s="395">
        <f t="shared" ca="1" si="19"/>
        <v>0</v>
      </c>
      <c r="AE33" s="395">
        <f t="shared" ca="1" si="20"/>
        <v>0</v>
      </c>
      <c r="AF33" s="395">
        <f t="shared" ca="1" si="21"/>
        <v>0</v>
      </c>
      <c r="AG33" s="395">
        <f t="shared" ca="1" si="22"/>
        <v>0</v>
      </c>
      <c r="AH33" s="395">
        <f t="shared" ca="1" si="23"/>
        <v>0</v>
      </c>
      <c r="AI33" s="395">
        <f t="shared" ca="1" si="24"/>
        <v>0</v>
      </c>
      <c r="AJ33" s="395">
        <f t="shared" ca="1" si="25"/>
        <v>0</v>
      </c>
      <c r="AK33" s="395">
        <f t="shared" ca="1" si="26"/>
        <v>0</v>
      </c>
      <c r="AL33" s="395">
        <f t="shared" ca="1" si="27"/>
        <v>0</v>
      </c>
      <c r="AM33" s="395">
        <f t="shared" ca="1" si="28"/>
        <v>0</v>
      </c>
      <c r="AN33" s="395">
        <f t="shared" ca="1" si="29"/>
        <v>30000</v>
      </c>
      <c r="AO33" s="395">
        <f t="shared" ca="1" si="30"/>
        <v>0</v>
      </c>
      <c r="AP33" s="395">
        <f t="shared" ca="1" si="31"/>
        <v>0</v>
      </c>
      <c r="AQ33" s="395">
        <f t="shared" ca="1" si="32"/>
        <v>0</v>
      </c>
      <c r="AR33" s="395">
        <f t="shared" ca="1" si="33"/>
        <v>0</v>
      </c>
      <c r="AS33" s="395">
        <f t="shared" ca="1" si="34"/>
        <v>0</v>
      </c>
      <c r="AT33" s="395">
        <f t="shared" ca="1" si="35"/>
        <v>0</v>
      </c>
      <c r="AU33" s="395">
        <f t="shared" ca="1" si="36"/>
        <v>0</v>
      </c>
      <c r="AV33" s="395">
        <f t="shared" ca="1" si="37"/>
        <v>0</v>
      </c>
      <c r="AW33" s="395">
        <f t="shared" ca="1" si="38"/>
        <v>0</v>
      </c>
    </row>
    <row r="34" spans="1:49" s="392" customFormat="1" ht="12.75" customHeight="1">
      <c r="A34" s="63">
        <f t="array" aca="1" ref="A34" ca="1">IF(C34&lt;&gt;0,SUM(($C$11:C34&lt;&gt;0)*1),"")</f>
        <v>24</v>
      </c>
      <c r="B34" s="393">
        <f ca="1">IF(ROWS($1:24)&gt;COUNT(Dong6),"",OFFSET(TH!C$1,SMALL(Dong6,ROWS($1:24)),))</f>
        <v>41664</v>
      </c>
      <c r="C34" s="393" t="str">
        <f ca="1">IF(ROWS($1:24)&gt;COUNT(Dong6),"",OFFSET(TH!D$1,SMALL(Dong6,ROWS($1:24)),))</f>
        <v>GBN</v>
      </c>
      <c r="D34" s="393">
        <f ca="1">IF(ROWS($1:24)&gt;COUNT(Dong6),"",OFFSET(TH!E$1,SMALL(Dong6,ROWS($1:24)),))</f>
        <v>41664</v>
      </c>
      <c r="E34" s="443" t="str">
        <f ca="1">IF(ROWS($1:24)&gt;COUNT(Dong6),"",OFFSET(TH!F$1,SMALL(Dong6,ROWS($1:24)),))</f>
        <v xml:space="preserve">VAT Phí chuyển tiền </v>
      </c>
      <c r="F34" s="444">
        <f ca="1">IF(ROWS($1:24)&gt;COUNT(Dong6),"",OFFSET(TH!I$1,SMALL(Dong6,ROWS($1:24)),))</f>
        <v>3000</v>
      </c>
      <c r="G34" s="445" t="str">
        <f ca="1">IF(ROWS($1:24)&gt;COUNT(Dong6),"",OFFSET(TH!J$1,SMALL(Dong6,ROWS($1:24)),))</f>
        <v>1331</v>
      </c>
      <c r="H34" s="445" t="str">
        <f ca="1">IF(ROWS($1:24)&gt;COUNT(Dong6),"",OFFSET(TH!K$1,SMALL(Dong6,ROWS($1:24)),))</f>
        <v>1121</v>
      </c>
      <c r="I34" s="63">
        <f t="shared" ca="1" si="0"/>
        <v>24</v>
      </c>
      <c r="J34" s="395">
        <f t="shared" ca="1" si="1"/>
        <v>0</v>
      </c>
      <c r="K34" s="395">
        <f t="shared" ca="1" si="2"/>
        <v>0</v>
      </c>
      <c r="L34" s="395">
        <f t="shared" ca="1" si="3"/>
        <v>0</v>
      </c>
      <c r="M34" s="395">
        <f t="shared" ca="1" si="4"/>
        <v>3000</v>
      </c>
      <c r="N34" s="395">
        <f t="shared" ca="1" si="5"/>
        <v>3000</v>
      </c>
      <c r="O34" s="395">
        <f t="shared" ca="1" si="6"/>
        <v>0</v>
      </c>
      <c r="P34" s="395">
        <f t="shared" ca="1" si="7"/>
        <v>0</v>
      </c>
      <c r="Q34" s="395">
        <f t="shared" ca="1" si="8"/>
        <v>0</v>
      </c>
      <c r="R34" s="395">
        <f t="shared" ca="1" si="39"/>
        <v>0</v>
      </c>
      <c r="S34" s="395">
        <f t="shared" ca="1" si="40"/>
        <v>0</v>
      </c>
      <c r="T34" s="395">
        <f t="shared" ca="1" si="9"/>
        <v>0</v>
      </c>
      <c r="U34" s="395">
        <f t="shared" ca="1" si="10"/>
        <v>0</v>
      </c>
      <c r="V34" s="395">
        <f t="shared" ca="1" si="11"/>
        <v>0</v>
      </c>
      <c r="W34" s="395">
        <f t="shared" ca="1" si="12"/>
        <v>0</v>
      </c>
      <c r="X34" s="395">
        <f t="shared" ca="1" si="13"/>
        <v>0</v>
      </c>
      <c r="Y34" s="395">
        <f t="shared" ca="1" si="14"/>
        <v>0</v>
      </c>
      <c r="Z34" s="395">
        <f t="shared" ca="1" si="15"/>
        <v>0</v>
      </c>
      <c r="AA34" s="395">
        <f t="shared" ca="1" si="16"/>
        <v>0</v>
      </c>
      <c r="AB34" s="395">
        <f t="shared" ca="1" si="17"/>
        <v>0</v>
      </c>
      <c r="AC34" s="395">
        <f t="shared" ca="1" si="18"/>
        <v>0</v>
      </c>
      <c r="AD34" s="395">
        <f t="shared" ca="1" si="19"/>
        <v>0</v>
      </c>
      <c r="AE34" s="395">
        <f t="shared" ca="1" si="20"/>
        <v>0</v>
      </c>
      <c r="AF34" s="395">
        <f t="shared" ca="1" si="21"/>
        <v>0</v>
      </c>
      <c r="AG34" s="395">
        <f t="shared" ca="1" si="22"/>
        <v>0</v>
      </c>
      <c r="AH34" s="395">
        <f t="shared" ca="1" si="23"/>
        <v>0</v>
      </c>
      <c r="AI34" s="395">
        <f t="shared" ca="1" si="24"/>
        <v>0</v>
      </c>
      <c r="AJ34" s="395">
        <f t="shared" ca="1" si="25"/>
        <v>0</v>
      </c>
      <c r="AK34" s="395">
        <f t="shared" ca="1" si="26"/>
        <v>0</v>
      </c>
      <c r="AL34" s="395">
        <f t="shared" ca="1" si="27"/>
        <v>0</v>
      </c>
      <c r="AM34" s="395">
        <f t="shared" ca="1" si="28"/>
        <v>0</v>
      </c>
      <c r="AN34" s="395">
        <f t="shared" ca="1" si="29"/>
        <v>0</v>
      </c>
      <c r="AO34" s="395">
        <f t="shared" ca="1" si="30"/>
        <v>0</v>
      </c>
      <c r="AP34" s="395">
        <f t="shared" ca="1" si="31"/>
        <v>0</v>
      </c>
      <c r="AQ34" s="395">
        <f t="shared" ca="1" si="32"/>
        <v>0</v>
      </c>
      <c r="AR34" s="395">
        <f t="shared" ca="1" si="33"/>
        <v>0</v>
      </c>
      <c r="AS34" s="395">
        <f t="shared" ca="1" si="34"/>
        <v>0</v>
      </c>
      <c r="AT34" s="395">
        <f t="shared" ca="1" si="35"/>
        <v>0</v>
      </c>
      <c r="AU34" s="395">
        <f t="shared" ca="1" si="36"/>
        <v>0</v>
      </c>
      <c r="AV34" s="395">
        <f t="shared" ca="1" si="37"/>
        <v>0</v>
      </c>
      <c r="AW34" s="395">
        <f t="shared" ca="1" si="38"/>
        <v>0</v>
      </c>
    </row>
    <row r="35" spans="1:49" s="392" customFormat="1" ht="12.75" customHeight="1">
      <c r="A35" s="63">
        <f t="array" aca="1" ref="A35" ca="1">IF(C35&lt;&gt;0,SUM(($C$11:C35&lt;&gt;0)*1),"")</f>
        <v>25</v>
      </c>
      <c r="B35" s="393">
        <f ca="1">IF(ROWS($1:25)&gt;COUNT(Dong6),"",OFFSET(TH!C$1,SMALL(Dong6,ROWS($1:25)),))</f>
        <v>41664</v>
      </c>
      <c r="C35" s="393" t="str">
        <f ca="1">IF(ROWS($1:25)&gt;COUNT(Dong6),"",OFFSET(TH!D$1,SMALL(Dong6,ROWS($1:25)),))</f>
        <v>GBN</v>
      </c>
      <c r="D35" s="393">
        <f ca="1">IF(ROWS($1:25)&gt;COUNT(Dong6),"",OFFSET(TH!E$1,SMALL(Dong6,ROWS($1:25)),))</f>
        <v>41664</v>
      </c>
      <c r="E35" s="443" t="str">
        <f ca="1">IF(ROWS($1:25)&gt;COUNT(Dong6),"",OFFSET(TH!F$1,SMALL(Dong6,ROWS($1:25)),))</f>
        <v>Ứng tiền cọc betong Tân Tài</v>
      </c>
      <c r="F35" s="444">
        <f ca="1">IF(ROWS($1:25)&gt;COUNT(Dong6),"",OFFSET(TH!I$1,SMALL(Dong6,ROWS($1:25)),))</f>
        <v>20000000</v>
      </c>
      <c r="G35" s="445" t="str">
        <f ca="1">IF(ROWS($1:25)&gt;COUNT(Dong6),"",OFFSET(TH!J$1,SMALL(Dong6,ROWS($1:25)),))</f>
        <v>331</v>
      </c>
      <c r="H35" s="445" t="str">
        <f ca="1">IF(ROWS($1:25)&gt;COUNT(Dong6),"",OFFSET(TH!K$1,SMALL(Dong6,ROWS($1:25)),))</f>
        <v>1121</v>
      </c>
      <c r="I35" s="63">
        <f ca="1">A35</f>
        <v>25</v>
      </c>
      <c r="J35" s="395">
        <f t="shared" ca="1" si="1"/>
        <v>0</v>
      </c>
      <c r="K35" s="395">
        <f t="shared" ca="1" si="2"/>
        <v>0</v>
      </c>
      <c r="L35" s="395">
        <f t="shared" ca="1" si="3"/>
        <v>0</v>
      </c>
      <c r="M35" s="395">
        <f t="shared" ca="1" si="4"/>
        <v>20000000</v>
      </c>
      <c r="N35" s="395">
        <f t="shared" ca="1" si="5"/>
        <v>0</v>
      </c>
      <c r="O35" s="395">
        <f t="shared" ca="1" si="6"/>
        <v>0</v>
      </c>
      <c r="P35" s="395">
        <f t="shared" ca="1" si="7"/>
        <v>0</v>
      </c>
      <c r="Q35" s="395">
        <f t="shared" ca="1" si="8"/>
        <v>0</v>
      </c>
      <c r="R35" s="395">
        <f t="shared" ca="1" si="39"/>
        <v>0</v>
      </c>
      <c r="S35" s="395">
        <f t="shared" ca="1" si="40"/>
        <v>0</v>
      </c>
      <c r="T35" s="395">
        <f t="shared" ca="1" si="9"/>
        <v>20000000</v>
      </c>
      <c r="U35" s="395">
        <f t="shared" ca="1" si="10"/>
        <v>0</v>
      </c>
      <c r="V35" s="395">
        <f t="shared" ca="1" si="11"/>
        <v>0</v>
      </c>
      <c r="W35" s="395">
        <f t="shared" ca="1" si="12"/>
        <v>0</v>
      </c>
      <c r="X35" s="395">
        <f t="shared" ca="1" si="13"/>
        <v>0</v>
      </c>
      <c r="Y35" s="395">
        <f t="shared" ca="1" si="14"/>
        <v>0</v>
      </c>
      <c r="Z35" s="395">
        <f t="shared" ca="1" si="15"/>
        <v>0</v>
      </c>
      <c r="AA35" s="395">
        <f t="shared" ca="1" si="16"/>
        <v>0</v>
      </c>
      <c r="AB35" s="395">
        <f t="shared" ca="1" si="17"/>
        <v>0</v>
      </c>
      <c r="AC35" s="395">
        <f t="shared" ca="1" si="18"/>
        <v>0</v>
      </c>
      <c r="AD35" s="395">
        <f t="shared" ca="1" si="19"/>
        <v>0</v>
      </c>
      <c r="AE35" s="395">
        <f t="shared" ca="1" si="20"/>
        <v>0</v>
      </c>
      <c r="AF35" s="395">
        <f t="shared" ca="1" si="21"/>
        <v>0</v>
      </c>
      <c r="AG35" s="395">
        <f t="shared" ca="1" si="22"/>
        <v>0</v>
      </c>
      <c r="AH35" s="395">
        <f t="shared" ca="1" si="23"/>
        <v>0</v>
      </c>
      <c r="AI35" s="395">
        <f t="shared" ca="1" si="24"/>
        <v>0</v>
      </c>
      <c r="AJ35" s="395">
        <f t="shared" ca="1" si="25"/>
        <v>0</v>
      </c>
      <c r="AK35" s="395">
        <f t="shared" ca="1" si="26"/>
        <v>0</v>
      </c>
      <c r="AL35" s="395">
        <f t="shared" ca="1" si="27"/>
        <v>0</v>
      </c>
      <c r="AM35" s="395">
        <f t="shared" ca="1" si="28"/>
        <v>0</v>
      </c>
      <c r="AN35" s="395">
        <f t="shared" ca="1" si="29"/>
        <v>0</v>
      </c>
      <c r="AO35" s="395">
        <f t="shared" ca="1" si="30"/>
        <v>0</v>
      </c>
      <c r="AP35" s="395">
        <f t="shared" ca="1" si="31"/>
        <v>0</v>
      </c>
      <c r="AQ35" s="395">
        <f t="shared" ca="1" si="32"/>
        <v>0</v>
      </c>
      <c r="AR35" s="395">
        <f t="shared" ca="1" si="33"/>
        <v>0</v>
      </c>
      <c r="AS35" s="395">
        <f t="shared" ca="1" si="34"/>
        <v>0</v>
      </c>
      <c r="AT35" s="395">
        <f t="shared" ca="1" si="35"/>
        <v>0</v>
      </c>
      <c r="AU35" s="395">
        <f t="shared" ca="1" si="36"/>
        <v>0</v>
      </c>
      <c r="AV35" s="395">
        <f t="shared" ca="1" si="37"/>
        <v>0</v>
      </c>
      <c r="AW35" s="395">
        <f t="shared" ca="1" si="38"/>
        <v>0</v>
      </c>
    </row>
    <row r="36" spans="1:49" s="392" customFormat="1" ht="12.75" customHeight="1">
      <c r="A36" s="63">
        <f t="array" aca="1" ref="A36" ca="1">IF(C36&lt;&gt;0,SUM(($C$11:C36&lt;&gt;0)*1),"")</f>
        <v>26</v>
      </c>
      <c r="B36" s="393">
        <f ca="1">IF(ROWS($1:26)&gt;COUNT(Dong6),"",OFFSET(TH!C$1,SMALL(Dong6,ROWS($1:26)),))</f>
        <v>41664</v>
      </c>
      <c r="C36" s="393" t="str">
        <f ca="1">IF(ROWS($1:26)&gt;COUNT(Dong6),"",OFFSET(TH!D$1,SMALL(Dong6,ROWS($1:26)),))</f>
        <v>GBN</v>
      </c>
      <c r="D36" s="393">
        <f ca="1">IF(ROWS($1:26)&gt;COUNT(Dong6),"",OFFSET(TH!E$1,SMALL(Dong6,ROWS($1:26)),))</f>
        <v>41664</v>
      </c>
      <c r="E36" s="443" t="str">
        <f ca="1">IF(ROWS($1:26)&gt;COUNT(Dong6),"",OFFSET(TH!F$1,SMALL(Dong6,ROWS($1:26)),))</f>
        <v xml:space="preserve">Phí chuyển tiền </v>
      </c>
      <c r="F36" s="444">
        <f ca="1">IF(ROWS($1:26)&gt;COUNT(Dong6),"",OFFSET(TH!I$1,SMALL(Dong6,ROWS($1:26)),))</f>
        <v>22804</v>
      </c>
      <c r="G36" s="445" t="str">
        <f ca="1">IF(ROWS($1:26)&gt;COUNT(Dong6),"",OFFSET(TH!J$1,SMALL(Dong6,ROWS($1:26)),))</f>
        <v>642</v>
      </c>
      <c r="H36" s="445" t="str">
        <f ca="1">IF(ROWS($1:26)&gt;COUNT(Dong6),"",OFFSET(TH!K$1,SMALL(Dong6,ROWS($1:26)),))</f>
        <v>1121</v>
      </c>
      <c r="I36" s="63">
        <f ca="1">A36</f>
        <v>26</v>
      </c>
      <c r="J36" s="395">
        <f t="shared" ca="1" si="1"/>
        <v>0</v>
      </c>
      <c r="K36" s="395">
        <f t="shared" ca="1" si="2"/>
        <v>0</v>
      </c>
      <c r="L36" s="395">
        <f t="shared" ca="1" si="3"/>
        <v>0</v>
      </c>
      <c r="M36" s="395">
        <f t="shared" ca="1" si="4"/>
        <v>22804</v>
      </c>
      <c r="N36" s="395">
        <f t="shared" ca="1" si="5"/>
        <v>0</v>
      </c>
      <c r="O36" s="395">
        <f t="shared" ca="1" si="6"/>
        <v>0</v>
      </c>
      <c r="P36" s="395">
        <f t="shared" ca="1" si="7"/>
        <v>0</v>
      </c>
      <c r="Q36" s="395">
        <f t="shared" ca="1" si="8"/>
        <v>0</v>
      </c>
      <c r="R36" s="395">
        <f t="shared" ca="1" si="39"/>
        <v>0</v>
      </c>
      <c r="S36" s="395">
        <f t="shared" ca="1" si="40"/>
        <v>0</v>
      </c>
      <c r="T36" s="395">
        <f t="shared" ca="1" si="9"/>
        <v>0</v>
      </c>
      <c r="U36" s="395">
        <f t="shared" ca="1" si="10"/>
        <v>0</v>
      </c>
      <c r="V36" s="395">
        <f t="shared" ca="1" si="11"/>
        <v>0</v>
      </c>
      <c r="W36" s="395">
        <f t="shared" ca="1" si="12"/>
        <v>0</v>
      </c>
      <c r="X36" s="395">
        <f t="shared" ca="1" si="13"/>
        <v>0</v>
      </c>
      <c r="Y36" s="395">
        <f t="shared" ca="1" si="14"/>
        <v>0</v>
      </c>
      <c r="Z36" s="395">
        <f t="shared" ca="1" si="15"/>
        <v>0</v>
      </c>
      <c r="AA36" s="395">
        <f t="shared" ca="1" si="16"/>
        <v>0</v>
      </c>
      <c r="AB36" s="395">
        <f t="shared" ca="1" si="17"/>
        <v>0</v>
      </c>
      <c r="AC36" s="395">
        <f t="shared" ca="1" si="18"/>
        <v>0</v>
      </c>
      <c r="AD36" s="395">
        <f t="shared" ca="1" si="19"/>
        <v>0</v>
      </c>
      <c r="AE36" s="395">
        <f t="shared" ca="1" si="20"/>
        <v>0</v>
      </c>
      <c r="AF36" s="395">
        <f t="shared" ca="1" si="21"/>
        <v>0</v>
      </c>
      <c r="AG36" s="395">
        <f t="shared" ca="1" si="22"/>
        <v>0</v>
      </c>
      <c r="AH36" s="395">
        <f t="shared" ca="1" si="23"/>
        <v>0</v>
      </c>
      <c r="AI36" s="395">
        <f t="shared" ca="1" si="24"/>
        <v>0</v>
      </c>
      <c r="AJ36" s="395">
        <f t="shared" ca="1" si="25"/>
        <v>0</v>
      </c>
      <c r="AK36" s="395">
        <f t="shared" ca="1" si="26"/>
        <v>0</v>
      </c>
      <c r="AL36" s="395">
        <f t="shared" ca="1" si="27"/>
        <v>0</v>
      </c>
      <c r="AM36" s="395">
        <f t="shared" ca="1" si="28"/>
        <v>0</v>
      </c>
      <c r="AN36" s="395">
        <f t="shared" ca="1" si="29"/>
        <v>22804</v>
      </c>
      <c r="AO36" s="395">
        <f t="shared" ca="1" si="30"/>
        <v>0</v>
      </c>
      <c r="AP36" s="395">
        <f t="shared" ca="1" si="31"/>
        <v>0</v>
      </c>
      <c r="AQ36" s="395">
        <f t="shared" ca="1" si="32"/>
        <v>0</v>
      </c>
      <c r="AR36" s="395">
        <f t="shared" ca="1" si="33"/>
        <v>0</v>
      </c>
      <c r="AS36" s="395">
        <f t="shared" ca="1" si="34"/>
        <v>0</v>
      </c>
      <c r="AT36" s="395">
        <f t="shared" ca="1" si="35"/>
        <v>0</v>
      </c>
      <c r="AU36" s="395">
        <f t="shared" ca="1" si="36"/>
        <v>0</v>
      </c>
      <c r="AV36" s="395">
        <f t="shared" ca="1" si="37"/>
        <v>0</v>
      </c>
      <c r="AW36" s="395">
        <f t="shared" ca="1" si="38"/>
        <v>0</v>
      </c>
    </row>
    <row r="37" spans="1:49" s="392" customFormat="1" ht="12.75" customHeight="1">
      <c r="A37" s="63">
        <f t="array" aca="1" ref="A37" ca="1">IF(C37&lt;&gt;0,SUM(($C$11:C37&lt;&gt;0)*1),"")</f>
        <v>27</v>
      </c>
      <c r="B37" s="393">
        <f ca="1">IF(ROWS($1:27)&gt;COUNT(Dong6),"",OFFSET(TH!C$1,SMALL(Dong6,ROWS($1:27)),))</f>
        <v>41664</v>
      </c>
      <c r="C37" s="393" t="str">
        <f ca="1">IF(ROWS($1:27)&gt;COUNT(Dong6),"",OFFSET(TH!D$1,SMALL(Dong6,ROWS($1:27)),))</f>
        <v>GBN</v>
      </c>
      <c r="D37" s="393">
        <f ca="1">IF(ROWS($1:27)&gt;COUNT(Dong6),"",OFFSET(TH!E$1,SMALL(Dong6,ROWS($1:27)),))</f>
        <v>41664</v>
      </c>
      <c r="E37" s="443" t="str">
        <f ca="1">IF(ROWS($1:27)&gt;COUNT(Dong6),"",OFFSET(TH!F$1,SMALL(Dong6,ROWS($1:27)),))</f>
        <v xml:space="preserve">VAT Phí chuyển tiền </v>
      </c>
      <c r="F37" s="444">
        <f ca="1">IF(ROWS($1:27)&gt;COUNT(Dong6),"",OFFSET(TH!I$1,SMALL(Dong6,ROWS($1:27)),))</f>
        <v>2280</v>
      </c>
      <c r="G37" s="445" t="str">
        <f ca="1">IF(ROWS($1:27)&gt;COUNT(Dong6),"",OFFSET(TH!J$1,SMALL(Dong6,ROWS($1:27)),))</f>
        <v>1331</v>
      </c>
      <c r="H37" s="445" t="str">
        <f ca="1">IF(ROWS($1:27)&gt;COUNT(Dong6),"",OFFSET(TH!K$1,SMALL(Dong6,ROWS($1:27)),))</f>
        <v>1121</v>
      </c>
      <c r="I37" s="63">
        <f ca="1">A37</f>
        <v>27</v>
      </c>
      <c r="J37" s="395">
        <f t="shared" ca="1" si="1"/>
        <v>0</v>
      </c>
      <c r="K37" s="395">
        <f t="shared" ca="1" si="2"/>
        <v>0</v>
      </c>
      <c r="L37" s="395">
        <f t="shared" ca="1" si="3"/>
        <v>0</v>
      </c>
      <c r="M37" s="395">
        <f t="shared" ca="1" si="4"/>
        <v>2280</v>
      </c>
      <c r="N37" s="395">
        <f t="shared" ca="1" si="5"/>
        <v>2280</v>
      </c>
      <c r="O37" s="395">
        <f t="shared" ca="1" si="6"/>
        <v>0</v>
      </c>
      <c r="P37" s="395">
        <f t="shared" ca="1" si="7"/>
        <v>0</v>
      </c>
      <c r="Q37" s="395">
        <f t="shared" ca="1" si="8"/>
        <v>0</v>
      </c>
      <c r="R37" s="395">
        <f t="shared" ca="1" si="39"/>
        <v>0</v>
      </c>
      <c r="S37" s="395">
        <f t="shared" ca="1" si="40"/>
        <v>0</v>
      </c>
      <c r="T37" s="395">
        <f t="shared" ca="1" si="9"/>
        <v>0</v>
      </c>
      <c r="U37" s="395">
        <f t="shared" ca="1" si="10"/>
        <v>0</v>
      </c>
      <c r="V37" s="395">
        <f t="shared" ca="1" si="11"/>
        <v>0</v>
      </c>
      <c r="W37" s="395">
        <f t="shared" ca="1" si="12"/>
        <v>0</v>
      </c>
      <c r="X37" s="395">
        <f t="shared" ca="1" si="13"/>
        <v>0</v>
      </c>
      <c r="Y37" s="395">
        <f t="shared" ca="1" si="14"/>
        <v>0</v>
      </c>
      <c r="Z37" s="395">
        <f t="shared" ca="1" si="15"/>
        <v>0</v>
      </c>
      <c r="AA37" s="395">
        <f t="shared" ca="1" si="16"/>
        <v>0</v>
      </c>
      <c r="AB37" s="395">
        <f t="shared" ca="1" si="17"/>
        <v>0</v>
      </c>
      <c r="AC37" s="395">
        <f t="shared" ca="1" si="18"/>
        <v>0</v>
      </c>
      <c r="AD37" s="395">
        <f t="shared" ca="1" si="19"/>
        <v>0</v>
      </c>
      <c r="AE37" s="395">
        <f t="shared" ca="1" si="20"/>
        <v>0</v>
      </c>
      <c r="AF37" s="395">
        <f t="shared" ca="1" si="21"/>
        <v>0</v>
      </c>
      <c r="AG37" s="395">
        <f t="shared" ca="1" si="22"/>
        <v>0</v>
      </c>
      <c r="AH37" s="395">
        <f t="shared" ca="1" si="23"/>
        <v>0</v>
      </c>
      <c r="AI37" s="395">
        <f t="shared" ca="1" si="24"/>
        <v>0</v>
      </c>
      <c r="AJ37" s="395">
        <f t="shared" ca="1" si="25"/>
        <v>0</v>
      </c>
      <c r="AK37" s="395">
        <f t="shared" ca="1" si="26"/>
        <v>0</v>
      </c>
      <c r="AL37" s="395">
        <f t="shared" ca="1" si="27"/>
        <v>0</v>
      </c>
      <c r="AM37" s="395">
        <f t="shared" ca="1" si="28"/>
        <v>0</v>
      </c>
      <c r="AN37" s="395">
        <f t="shared" ca="1" si="29"/>
        <v>0</v>
      </c>
      <c r="AO37" s="395">
        <f t="shared" ca="1" si="30"/>
        <v>0</v>
      </c>
      <c r="AP37" s="395">
        <f t="shared" ca="1" si="31"/>
        <v>0</v>
      </c>
      <c r="AQ37" s="395">
        <f t="shared" ca="1" si="32"/>
        <v>0</v>
      </c>
      <c r="AR37" s="395">
        <f t="shared" ca="1" si="33"/>
        <v>0</v>
      </c>
      <c r="AS37" s="395">
        <f t="shared" ca="1" si="34"/>
        <v>0</v>
      </c>
      <c r="AT37" s="395">
        <f t="shared" ca="1" si="35"/>
        <v>0</v>
      </c>
      <c r="AU37" s="395">
        <f t="shared" ca="1" si="36"/>
        <v>0</v>
      </c>
      <c r="AV37" s="395">
        <f t="shared" ca="1" si="37"/>
        <v>0</v>
      </c>
      <c r="AW37" s="395">
        <f t="shared" ca="1" si="38"/>
        <v>0</v>
      </c>
    </row>
    <row r="38" spans="1:49" s="392" customFormat="1" ht="12.75" customHeight="1">
      <c r="A38" s="63">
        <f t="array" aca="1" ref="A38" ca="1">IF(C38&lt;&gt;0,SUM(($C$11:C38&lt;&gt;0)*1),"")</f>
        <v>28</v>
      </c>
      <c r="B38" s="393">
        <f ca="1">IF(ROWS($1:28)&gt;COUNT(Dong6),"",OFFSET(TH!C$1,SMALL(Dong6,ROWS($1:28)),))</f>
        <v>41699</v>
      </c>
      <c r="C38" s="393" t="str">
        <f ca="1">IF(ROWS($1:28)&gt;COUNT(Dong6),"",OFFSET(TH!D$1,SMALL(Dong6,ROWS($1:28)),))</f>
        <v>C05</v>
      </c>
      <c r="D38" s="393">
        <f ca="1">IF(ROWS($1:28)&gt;COUNT(Dong6),"",OFFSET(TH!E$1,SMALL(Dong6,ROWS($1:28)),))</f>
        <v>41699</v>
      </c>
      <c r="E38" s="443" t="str">
        <f ca="1">IF(ROWS($1:28)&gt;COUNT(Dong6),"",OFFSET(TH!F$1,SMALL(Dong6,ROWS($1:28)),))</f>
        <v>Nộp tiền mặt vào tài khoản ngân hàng</v>
      </c>
      <c r="F38" s="444">
        <f ca="1">IF(ROWS($1:28)&gt;COUNT(Dong6),"",OFFSET(TH!I$1,SMALL(Dong6,ROWS($1:28)),))</f>
        <v>76500000</v>
      </c>
      <c r="G38" s="445" t="str">
        <f ca="1">IF(ROWS($1:28)&gt;COUNT(Dong6),"",OFFSET(TH!J$1,SMALL(Dong6,ROWS($1:28)),))</f>
        <v>1121</v>
      </c>
      <c r="H38" s="445" t="str">
        <f ca="1">IF(ROWS($1:28)&gt;COUNT(Dong6),"",OFFSET(TH!K$1,SMALL(Dong6,ROWS($1:28)),))</f>
        <v>1111</v>
      </c>
      <c r="I38" s="63">
        <f ca="1">A38</f>
        <v>28</v>
      </c>
      <c r="J38" s="395">
        <f t="shared" ca="1" si="1"/>
        <v>0</v>
      </c>
      <c r="K38" s="395">
        <f t="shared" ca="1" si="2"/>
        <v>76500000</v>
      </c>
      <c r="L38" s="395">
        <f t="shared" ca="1" si="3"/>
        <v>76500000</v>
      </c>
      <c r="M38" s="395">
        <f t="shared" ca="1" si="4"/>
        <v>0</v>
      </c>
      <c r="N38" s="395">
        <f t="shared" ca="1" si="5"/>
        <v>0</v>
      </c>
      <c r="O38" s="395">
        <f t="shared" ca="1" si="6"/>
        <v>0</v>
      </c>
      <c r="P38" s="395">
        <f t="shared" ca="1" si="7"/>
        <v>0</v>
      </c>
      <c r="Q38" s="395">
        <f t="shared" ca="1" si="8"/>
        <v>0</v>
      </c>
      <c r="R38" s="395">
        <f t="shared" ca="1" si="39"/>
        <v>0</v>
      </c>
      <c r="S38" s="395">
        <f t="shared" ca="1" si="40"/>
        <v>0</v>
      </c>
      <c r="T38" s="395">
        <f t="shared" ca="1" si="9"/>
        <v>0</v>
      </c>
      <c r="U38" s="395">
        <f t="shared" ca="1" si="10"/>
        <v>0</v>
      </c>
      <c r="V38" s="395">
        <f t="shared" ca="1" si="11"/>
        <v>0</v>
      </c>
      <c r="W38" s="395">
        <f t="shared" ca="1" si="12"/>
        <v>0</v>
      </c>
      <c r="X38" s="395">
        <f t="shared" ca="1" si="13"/>
        <v>0</v>
      </c>
      <c r="Y38" s="395">
        <f t="shared" ca="1" si="14"/>
        <v>0</v>
      </c>
      <c r="Z38" s="395">
        <f t="shared" ca="1" si="15"/>
        <v>0</v>
      </c>
      <c r="AA38" s="395">
        <f t="shared" ca="1" si="16"/>
        <v>0</v>
      </c>
      <c r="AB38" s="395">
        <f t="shared" ca="1" si="17"/>
        <v>0</v>
      </c>
      <c r="AC38" s="395">
        <f t="shared" ca="1" si="18"/>
        <v>0</v>
      </c>
      <c r="AD38" s="395">
        <f t="shared" ca="1" si="19"/>
        <v>0</v>
      </c>
      <c r="AE38" s="395">
        <f t="shared" ca="1" si="20"/>
        <v>0</v>
      </c>
      <c r="AF38" s="395">
        <f t="shared" ca="1" si="21"/>
        <v>0</v>
      </c>
      <c r="AG38" s="395">
        <f t="shared" ca="1" si="22"/>
        <v>0</v>
      </c>
      <c r="AH38" s="395">
        <f t="shared" ca="1" si="23"/>
        <v>0</v>
      </c>
      <c r="AI38" s="395">
        <f t="shared" ca="1" si="24"/>
        <v>0</v>
      </c>
      <c r="AJ38" s="395">
        <f t="shared" ca="1" si="25"/>
        <v>0</v>
      </c>
      <c r="AK38" s="395">
        <f t="shared" ca="1" si="26"/>
        <v>0</v>
      </c>
      <c r="AL38" s="395">
        <f t="shared" ca="1" si="27"/>
        <v>0</v>
      </c>
      <c r="AM38" s="395">
        <f t="shared" ca="1" si="28"/>
        <v>0</v>
      </c>
      <c r="AN38" s="395">
        <f t="shared" ca="1" si="29"/>
        <v>0</v>
      </c>
      <c r="AO38" s="395">
        <f t="shared" ca="1" si="30"/>
        <v>0</v>
      </c>
      <c r="AP38" s="395">
        <f t="shared" ca="1" si="31"/>
        <v>0</v>
      </c>
      <c r="AQ38" s="395">
        <f t="shared" ca="1" si="32"/>
        <v>0</v>
      </c>
      <c r="AR38" s="395">
        <f t="shared" ca="1" si="33"/>
        <v>0</v>
      </c>
      <c r="AS38" s="395">
        <f t="shared" ca="1" si="34"/>
        <v>0</v>
      </c>
      <c r="AT38" s="395">
        <f t="shared" ca="1" si="35"/>
        <v>0</v>
      </c>
      <c r="AU38" s="395">
        <f t="shared" ca="1" si="36"/>
        <v>0</v>
      </c>
      <c r="AV38" s="395">
        <f t="shared" ca="1" si="37"/>
        <v>0</v>
      </c>
      <c r="AW38" s="395">
        <f t="shared" ca="1" si="38"/>
        <v>0</v>
      </c>
    </row>
    <row r="39" spans="1:49" s="392" customFormat="1" ht="12.75" customHeight="1">
      <c r="A39" s="63">
        <f t="array" aca="1" ref="A39" ca="1">IF(C39&lt;&gt;0,SUM(($C$11:C39&lt;&gt;0)*1),"")</f>
        <v>29</v>
      </c>
      <c r="B39" s="393">
        <f ca="1">IF(ROWS($1:29)&gt;COUNT(Dong6),"",OFFSET(TH!C$1,SMALL(Dong6,ROWS($1:29)),))</f>
        <v>41699</v>
      </c>
      <c r="C39" s="393" t="str">
        <f ca="1">IF(ROWS($1:29)&gt;COUNT(Dong6),"",OFFSET(TH!D$1,SMALL(Dong6,ROWS($1:29)),))</f>
        <v>GBN</v>
      </c>
      <c r="D39" s="393">
        <f ca="1">IF(ROWS($1:29)&gt;COUNT(Dong6),"",OFFSET(TH!E$1,SMALL(Dong6,ROWS($1:29)),))</f>
        <v>41699</v>
      </c>
      <c r="E39" s="443" t="str">
        <f ca="1">IF(ROWS($1:29)&gt;COUNT(Dong6),"",OFFSET(TH!F$1,SMALL(Dong6,ROWS($1:29)),))</f>
        <v>Ứng tiền cọc betong IBS</v>
      </c>
      <c r="F39" s="444">
        <f ca="1">IF(ROWS($1:29)&gt;COUNT(Dong6),"",OFFSET(TH!I$1,SMALL(Dong6,ROWS($1:29)),))</f>
        <v>76462320</v>
      </c>
      <c r="G39" s="445" t="str">
        <f ca="1">IF(ROWS($1:29)&gt;COUNT(Dong6),"",OFFSET(TH!J$1,SMALL(Dong6,ROWS($1:29)),))</f>
        <v>331</v>
      </c>
      <c r="H39" s="445" t="str">
        <f ca="1">IF(ROWS($1:29)&gt;COUNT(Dong6),"",OFFSET(TH!K$1,SMALL(Dong6,ROWS($1:29)),))</f>
        <v>1121</v>
      </c>
      <c r="I39" s="63">
        <f t="shared" ref="I39:I55" ca="1" si="41">A39</f>
        <v>29</v>
      </c>
      <c r="J39" s="395">
        <f t="shared" ca="1" si="1"/>
        <v>0</v>
      </c>
      <c r="K39" s="395">
        <f t="shared" ca="1" si="2"/>
        <v>0</v>
      </c>
      <c r="L39" s="395">
        <f t="shared" ca="1" si="3"/>
        <v>0</v>
      </c>
      <c r="M39" s="395">
        <f t="shared" ca="1" si="4"/>
        <v>76462320</v>
      </c>
      <c r="N39" s="395">
        <f t="shared" ca="1" si="5"/>
        <v>0</v>
      </c>
      <c r="O39" s="395">
        <f t="shared" ca="1" si="6"/>
        <v>0</v>
      </c>
      <c r="P39" s="395">
        <f t="shared" ca="1" si="7"/>
        <v>0</v>
      </c>
      <c r="Q39" s="395">
        <f t="shared" ca="1" si="8"/>
        <v>0</v>
      </c>
      <c r="R39" s="395">
        <f t="shared" ca="1" si="39"/>
        <v>0</v>
      </c>
      <c r="S39" s="395">
        <f t="shared" ca="1" si="40"/>
        <v>0</v>
      </c>
      <c r="T39" s="395">
        <f t="shared" ca="1" si="9"/>
        <v>76462320</v>
      </c>
      <c r="U39" s="395">
        <f t="shared" ca="1" si="10"/>
        <v>0</v>
      </c>
      <c r="V39" s="395">
        <f t="shared" ca="1" si="11"/>
        <v>0</v>
      </c>
      <c r="W39" s="395">
        <f t="shared" ca="1" si="12"/>
        <v>0</v>
      </c>
      <c r="X39" s="395">
        <f t="shared" ca="1" si="13"/>
        <v>0</v>
      </c>
      <c r="Y39" s="395">
        <f t="shared" ca="1" si="14"/>
        <v>0</v>
      </c>
      <c r="Z39" s="395">
        <f t="shared" ca="1" si="15"/>
        <v>0</v>
      </c>
      <c r="AA39" s="395">
        <f t="shared" ca="1" si="16"/>
        <v>0</v>
      </c>
      <c r="AB39" s="395">
        <f t="shared" ca="1" si="17"/>
        <v>0</v>
      </c>
      <c r="AC39" s="395">
        <f t="shared" ca="1" si="18"/>
        <v>0</v>
      </c>
      <c r="AD39" s="395">
        <f t="shared" ca="1" si="19"/>
        <v>0</v>
      </c>
      <c r="AE39" s="395">
        <f t="shared" ca="1" si="20"/>
        <v>0</v>
      </c>
      <c r="AF39" s="395">
        <f t="shared" ca="1" si="21"/>
        <v>0</v>
      </c>
      <c r="AG39" s="395">
        <f t="shared" ca="1" si="22"/>
        <v>0</v>
      </c>
      <c r="AH39" s="395">
        <f t="shared" ca="1" si="23"/>
        <v>0</v>
      </c>
      <c r="AI39" s="395">
        <f t="shared" ca="1" si="24"/>
        <v>0</v>
      </c>
      <c r="AJ39" s="395">
        <f t="shared" ca="1" si="25"/>
        <v>0</v>
      </c>
      <c r="AK39" s="395">
        <f t="shared" ca="1" si="26"/>
        <v>0</v>
      </c>
      <c r="AL39" s="395">
        <f t="shared" ca="1" si="27"/>
        <v>0</v>
      </c>
      <c r="AM39" s="395">
        <f t="shared" ca="1" si="28"/>
        <v>0</v>
      </c>
      <c r="AN39" s="395">
        <f t="shared" ca="1" si="29"/>
        <v>0</v>
      </c>
      <c r="AO39" s="395">
        <f t="shared" ca="1" si="30"/>
        <v>0</v>
      </c>
      <c r="AP39" s="395">
        <f t="shared" ca="1" si="31"/>
        <v>0</v>
      </c>
      <c r="AQ39" s="395">
        <f t="shared" ca="1" si="32"/>
        <v>0</v>
      </c>
      <c r="AR39" s="395">
        <f t="shared" ca="1" si="33"/>
        <v>0</v>
      </c>
      <c r="AS39" s="395">
        <f t="shared" ca="1" si="34"/>
        <v>0</v>
      </c>
      <c r="AT39" s="395">
        <f t="shared" ca="1" si="35"/>
        <v>0</v>
      </c>
      <c r="AU39" s="395">
        <f t="shared" ca="1" si="36"/>
        <v>0</v>
      </c>
      <c r="AV39" s="395">
        <f t="shared" ca="1" si="37"/>
        <v>0</v>
      </c>
      <c r="AW39" s="395">
        <f t="shared" ca="1" si="38"/>
        <v>0</v>
      </c>
    </row>
    <row r="40" spans="1:49" s="392" customFormat="1" ht="12.75" customHeight="1">
      <c r="A40" s="63">
        <f t="array" aca="1" ref="A40" ca="1">IF(C40&lt;&gt;0,SUM(($C$11:C40&lt;&gt;0)*1),"")</f>
        <v>30</v>
      </c>
      <c r="B40" s="393">
        <f ca="1">IF(ROWS($1:30)&gt;COUNT(Dong6),"",OFFSET(TH!C$1,SMALL(Dong6,ROWS($1:30)),))</f>
        <v>41699</v>
      </c>
      <c r="C40" s="393" t="str">
        <f ca="1">IF(ROWS($1:30)&gt;COUNT(Dong6),"",OFFSET(TH!D$1,SMALL(Dong6,ROWS($1:30)),))</f>
        <v>GBN</v>
      </c>
      <c r="D40" s="393">
        <f ca="1">IF(ROWS($1:30)&gt;COUNT(Dong6),"",OFFSET(TH!E$1,SMALL(Dong6,ROWS($1:30)),))</f>
        <v>41699</v>
      </c>
      <c r="E40" s="443" t="str">
        <f ca="1">IF(ROWS($1:30)&gt;COUNT(Dong6),"",OFFSET(TH!F$1,SMALL(Dong6,ROWS($1:30)),))</f>
        <v xml:space="preserve">Phí chuyển tiền </v>
      </c>
      <c r="F40" s="444">
        <f ca="1">IF(ROWS($1:30)&gt;COUNT(Dong6),"",OFFSET(TH!I$1,SMALL(Dong6,ROWS($1:30)),))</f>
        <v>32561</v>
      </c>
      <c r="G40" s="445" t="str">
        <f ca="1">IF(ROWS($1:30)&gt;COUNT(Dong6),"",OFFSET(TH!J$1,SMALL(Dong6,ROWS($1:30)),))</f>
        <v>642</v>
      </c>
      <c r="H40" s="445" t="str">
        <f ca="1">IF(ROWS($1:30)&gt;COUNT(Dong6),"",OFFSET(TH!K$1,SMALL(Dong6,ROWS($1:30)),))</f>
        <v>1121</v>
      </c>
      <c r="I40" s="63">
        <f t="shared" ca="1" si="41"/>
        <v>30</v>
      </c>
      <c r="J40" s="395">
        <f t="shared" ca="1" si="1"/>
        <v>0</v>
      </c>
      <c r="K40" s="395">
        <f t="shared" ca="1" si="2"/>
        <v>0</v>
      </c>
      <c r="L40" s="395">
        <f t="shared" ca="1" si="3"/>
        <v>0</v>
      </c>
      <c r="M40" s="395">
        <f t="shared" ca="1" si="4"/>
        <v>32561</v>
      </c>
      <c r="N40" s="395">
        <f t="shared" ca="1" si="5"/>
        <v>0</v>
      </c>
      <c r="O40" s="395">
        <f t="shared" ca="1" si="6"/>
        <v>0</v>
      </c>
      <c r="P40" s="395">
        <f t="shared" ca="1" si="7"/>
        <v>0</v>
      </c>
      <c r="Q40" s="395">
        <f t="shared" ca="1" si="8"/>
        <v>0</v>
      </c>
      <c r="R40" s="395">
        <f t="shared" ca="1" si="39"/>
        <v>0</v>
      </c>
      <c r="S40" s="395">
        <f t="shared" ca="1" si="40"/>
        <v>0</v>
      </c>
      <c r="T40" s="395">
        <f t="shared" ca="1" si="9"/>
        <v>0</v>
      </c>
      <c r="U40" s="395">
        <f t="shared" ca="1" si="10"/>
        <v>0</v>
      </c>
      <c r="V40" s="395">
        <f t="shared" ca="1" si="11"/>
        <v>0</v>
      </c>
      <c r="W40" s="395">
        <f t="shared" ca="1" si="12"/>
        <v>0</v>
      </c>
      <c r="X40" s="395">
        <f t="shared" ca="1" si="13"/>
        <v>0</v>
      </c>
      <c r="Y40" s="395">
        <f t="shared" ca="1" si="14"/>
        <v>0</v>
      </c>
      <c r="Z40" s="395">
        <f t="shared" ca="1" si="15"/>
        <v>0</v>
      </c>
      <c r="AA40" s="395">
        <f t="shared" ca="1" si="16"/>
        <v>0</v>
      </c>
      <c r="AB40" s="395">
        <f t="shared" ca="1" si="17"/>
        <v>0</v>
      </c>
      <c r="AC40" s="395">
        <f t="shared" ca="1" si="18"/>
        <v>0</v>
      </c>
      <c r="AD40" s="395">
        <f t="shared" ca="1" si="19"/>
        <v>0</v>
      </c>
      <c r="AE40" s="395">
        <f t="shared" ca="1" si="20"/>
        <v>0</v>
      </c>
      <c r="AF40" s="395">
        <f t="shared" ca="1" si="21"/>
        <v>0</v>
      </c>
      <c r="AG40" s="395">
        <f t="shared" ca="1" si="22"/>
        <v>0</v>
      </c>
      <c r="AH40" s="395">
        <f t="shared" ca="1" si="23"/>
        <v>0</v>
      </c>
      <c r="AI40" s="395">
        <f t="shared" ca="1" si="24"/>
        <v>0</v>
      </c>
      <c r="AJ40" s="395">
        <f t="shared" ca="1" si="25"/>
        <v>0</v>
      </c>
      <c r="AK40" s="395">
        <f t="shared" ca="1" si="26"/>
        <v>0</v>
      </c>
      <c r="AL40" s="395">
        <f t="shared" ca="1" si="27"/>
        <v>0</v>
      </c>
      <c r="AM40" s="395">
        <f t="shared" ca="1" si="28"/>
        <v>0</v>
      </c>
      <c r="AN40" s="395">
        <f t="shared" ca="1" si="29"/>
        <v>32561</v>
      </c>
      <c r="AO40" s="395">
        <f t="shared" ca="1" si="30"/>
        <v>0</v>
      </c>
      <c r="AP40" s="395">
        <f t="shared" ca="1" si="31"/>
        <v>0</v>
      </c>
      <c r="AQ40" s="395">
        <f t="shared" ca="1" si="32"/>
        <v>0</v>
      </c>
      <c r="AR40" s="395">
        <f t="shared" ca="1" si="33"/>
        <v>0</v>
      </c>
      <c r="AS40" s="395">
        <f t="shared" ca="1" si="34"/>
        <v>0</v>
      </c>
      <c r="AT40" s="395">
        <f t="shared" ca="1" si="35"/>
        <v>0</v>
      </c>
      <c r="AU40" s="395">
        <f t="shared" ca="1" si="36"/>
        <v>0</v>
      </c>
      <c r="AV40" s="395">
        <f t="shared" ca="1" si="37"/>
        <v>0</v>
      </c>
      <c r="AW40" s="395">
        <f t="shared" ca="1" si="38"/>
        <v>0</v>
      </c>
    </row>
    <row r="41" spans="1:49" s="392" customFormat="1" ht="12.75" customHeight="1">
      <c r="A41" s="63">
        <f t="array" aca="1" ref="A41" ca="1">IF(C41&lt;&gt;0,SUM(($C$11:C41&lt;&gt;0)*1),"")</f>
        <v>31</v>
      </c>
      <c r="B41" s="393">
        <f ca="1">IF(ROWS($1:31)&gt;COUNT(Dong6),"",OFFSET(TH!C$1,SMALL(Dong6,ROWS($1:31)),))</f>
        <v>41699</v>
      </c>
      <c r="C41" s="393" t="str">
        <f ca="1">IF(ROWS($1:31)&gt;COUNT(Dong6),"",OFFSET(TH!D$1,SMALL(Dong6,ROWS($1:31)),))</f>
        <v>GBN</v>
      </c>
      <c r="D41" s="393">
        <f ca="1">IF(ROWS($1:31)&gt;COUNT(Dong6),"",OFFSET(TH!E$1,SMALL(Dong6,ROWS($1:31)),))</f>
        <v>41699</v>
      </c>
      <c r="E41" s="443" t="str">
        <f ca="1">IF(ROWS($1:31)&gt;COUNT(Dong6),"",OFFSET(TH!F$1,SMALL(Dong6,ROWS($1:31)),))</f>
        <v xml:space="preserve">VAT Phí chuyển tiền </v>
      </c>
      <c r="F41" s="444">
        <f ca="1">IF(ROWS($1:31)&gt;COUNT(Dong6),"",OFFSET(TH!I$1,SMALL(Dong6,ROWS($1:31)),))</f>
        <v>3256</v>
      </c>
      <c r="G41" s="445" t="str">
        <f ca="1">IF(ROWS($1:31)&gt;COUNT(Dong6),"",OFFSET(TH!J$1,SMALL(Dong6,ROWS($1:31)),))</f>
        <v>1331</v>
      </c>
      <c r="H41" s="445" t="str">
        <f ca="1">IF(ROWS($1:31)&gt;COUNT(Dong6),"",OFFSET(TH!K$1,SMALL(Dong6,ROWS($1:31)),))</f>
        <v>1121</v>
      </c>
      <c r="I41" s="63">
        <f t="shared" ca="1" si="41"/>
        <v>31</v>
      </c>
      <c r="J41" s="395">
        <f t="shared" ca="1" si="1"/>
        <v>0</v>
      </c>
      <c r="K41" s="395">
        <f t="shared" ca="1" si="2"/>
        <v>0</v>
      </c>
      <c r="L41" s="395">
        <f t="shared" ca="1" si="3"/>
        <v>0</v>
      </c>
      <c r="M41" s="395">
        <f t="shared" ca="1" si="4"/>
        <v>3256</v>
      </c>
      <c r="N41" s="395">
        <f t="shared" ca="1" si="5"/>
        <v>3256</v>
      </c>
      <c r="O41" s="395">
        <f t="shared" ca="1" si="6"/>
        <v>0</v>
      </c>
      <c r="P41" s="395">
        <f t="shared" ca="1" si="7"/>
        <v>0</v>
      </c>
      <c r="Q41" s="395">
        <f t="shared" ca="1" si="8"/>
        <v>0</v>
      </c>
      <c r="R41" s="395">
        <f t="shared" ca="1" si="39"/>
        <v>0</v>
      </c>
      <c r="S41" s="395">
        <f t="shared" ca="1" si="40"/>
        <v>0</v>
      </c>
      <c r="T41" s="395">
        <f t="shared" ca="1" si="9"/>
        <v>0</v>
      </c>
      <c r="U41" s="395">
        <f t="shared" ca="1" si="10"/>
        <v>0</v>
      </c>
      <c r="V41" s="395">
        <f t="shared" ca="1" si="11"/>
        <v>0</v>
      </c>
      <c r="W41" s="395">
        <f t="shared" ca="1" si="12"/>
        <v>0</v>
      </c>
      <c r="X41" s="395">
        <f t="shared" ca="1" si="13"/>
        <v>0</v>
      </c>
      <c r="Y41" s="395">
        <f t="shared" ca="1" si="14"/>
        <v>0</v>
      </c>
      <c r="Z41" s="395">
        <f t="shared" ca="1" si="15"/>
        <v>0</v>
      </c>
      <c r="AA41" s="395">
        <f t="shared" ca="1" si="16"/>
        <v>0</v>
      </c>
      <c r="AB41" s="395">
        <f t="shared" ca="1" si="17"/>
        <v>0</v>
      </c>
      <c r="AC41" s="395">
        <f t="shared" ca="1" si="18"/>
        <v>0</v>
      </c>
      <c r="AD41" s="395">
        <f t="shared" ca="1" si="19"/>
        <v>0</v>
      </c>
      <c r="AE41" s="395">
        <f t="shared" ca="1" si="20"/>
        <v>0</v>
      </c>
      <c r="AF41" s="395">
        <f t="shared" ca="1" si="21"/>
        <v>0</v>
      </c>
      <c r="AG41" s="395">
        <f t="shared" ca="1" si="22"/>
        <v>0</v>
      </c>
      <c r="AH41" s="395">
        <f t="shared" ca="1" si="23"/>
        <v>0</v>
      </c>
      <c r="AI41" s="395">
        <f t="shared" ca="1" si="24"/>
        <v>0</v>
      </c>
      <c r="AJ41" s="395">
        <f t="shared" ca="1" si="25"/>
        <v>0</v>
      </c>
      <c r="AK41" s="395">
        <f t="shared" ca="1" si="26"/>
        <v>0</v>
      </c>
      <c r="AL41" s="395">
        <f t="shared" ca="1" si="27"/>
        <v>0</v>
      </c>
      <c r="AM41" s="395">
        <f t="shared" ca="1" si="28"/>
        <v>0</v>
      </c>
      <c r="AN41" s="395">
        <f t="shared" ca="1" si="29"/>
        <v>0</v>
      </c>
      <c r="AO41" s="395">
        <f t="shared" ca="1" si="30"/>
        <v>0</v>
      </c>
      <c r="AP41" s="395">
        <f t="shared" ca="1" si="31"/>
        <v>0</v>
      </c>
      <c r="AQ41" s="395">
        <f t="shared" ca="1" si="32"/>
        <v>0</v>
      </c>
      <c r="AR41" s="395">
        <f t="shared" ca="1" si="33"/>
        <v>0</v>
      </c>
      <c r="AS41" s="395">
        <f t="shared" ca="1" si="34"/>
        <v>0</v>
      </c>
      <c r="AT41" s="395">
        <f t="shared" ca="1" si="35"/>
        <v>0</v>
      </c>
      <c r="AU41" s="395">
        <f t="shared" ca="1" si="36"/>
        <v>0</v>
      </c>
      <c r="AV41" s="395">
        <f t="shared" ca="1" si="37"/>
        <v>0</v>
      </c>
      <c r="AW41" s="395">
        <f t="shared" ca="1" si="38"/>
        <v>0</v>
      </c>
    </row>
    <row r="42" spans="1:49" s="392" customFormat="1" ht="12.75" customHeight="1">
      <c r="A42" s="63">
        <f t="array" aca="1" ref="A42" ca="1">IF(C42&lt;&gt;0,SUM(($C$11:C42&lt;&gt;0)*1),"")</f>
        <v>32</v>
      </c>
      <c r="B42" s="393">
        <f ca="1">IF(ROWS($1:32)&gt;COUNT(Dong6),"",OFFSET(TH!C$1,SMALL(Dong6,ROWS($1:32)),))</f>
        <v>41717</v>
      </c>
      <c r="C42" s="393" t="str">
        <f ca="1">IF(ROWS($1:32)&gt;COUNT(Dong6),"",OFFSET(TH!D$1,SMALL(Dong6,ROWS($1:32)),))</f>
        <v>GBN</v>
      </c>
      <c r="D42" s="393">
        <f ca="1">IF(ROWS($1:32)&gt;COUNT(Dong6),"",OFFSET(TH!E$1,SMALL(Dong6,ROWS($1:32)),))</f>
        <v>41717</v>
      </c>
      <c r="E42" s="443" t="str">
        <f ca="1">IF(ROWS($1:32)&gt;COUNT(Dong6),"",OFFSET(TH!F$1,SMALL(Dong6,ROWS($1:32)),))</f>
        <v>Phí duy trì DV SMS - 0903921945</v>
      </c>
      <c r="F42" s="444">
        <f ca="1">IF(ROWS($1:32)&gt;COUNT(Dong6),"",OFFSET(TH!I$1,SMALL(Dong6,ROWS($1:32)),))</f>
        <v>30000</v>
      </c>
      <c r="G42" s="445" t="str">
        <f ca="1">IF(ROWS($1:32)&gt;COUNT(Dong6),"",OFFSET(TH!J$1,SMALL(Dong6,ROWS($1:32)),))</f>
        <v>642</v>
      </c>
      <c r="H42" s="445" t="str">
        <f ca="1">IF(ROWS($1:32)&gt;COUNT(Dong6),"",OFFSET(TH!K$1,SMALL(Dong6,ROWS($1:32)),))</f>
        <v>1121</v>
      </c>
      <c r="I42" s="63">
        <f t="shared" ca="1" si="41"/>
        <v>32</v>
      </c>
      <c r="J42" s="395">
        <f t="shared" ca="1" si="1"/>
        <v>0</v>
      </c>
      <c r="K42" s="395">
        <f t="shared" ca="1" si="2"/>
        <v>0</v>
      </c>
      <c r="L42" s="395">
        <f t="shared" ca="1" si="3"/>
        <v>0</v>
      </c>
      <c r="M42" s="395">
        <f t="shared" ca="1" si="4"/>
        <v>30000</v>
      </c>
      <c r="N42" s="395">
        <f t="shared" ca="1" si="5"/>
        <v>0</v>
      </c>
      <c r="O42" s="395">
        <f t="shared" ca="1" si="6"/>
        <v>0</v>
      </c>
      <c r="P42" s="395">
        <f t="shared" ca="1" si="7"/>
        <v>0</v>
      </c>
      <c r="Q42" s="395">
        <f t="shared" ca="1" si="8"/>
        <v>0</v>
      </c>
      <c r="R42" s="395">
        <f t="shared" ca="1" si="39"/>
        <v>0</v>
      </c>
      <c r="S42" s="395">
        <f t="shared" ca="1" si="40"/>
        <v>0</v>
      </c>
      <c r="T42" s="395">
        <f t="shared" ca="1" si="9"/>
        <v>0</v>
      </c>
      <c r="U42" s="395">
        <f t="shared" ca="1" si="10"/>
        <v>0</v>
      </c>
      <c r="V42" s="395">
        <f t="shared" ca="1" si="11"/>
        <v>0</v>
      </c>
      <c r="W42" s="395">
        <f t="shared" ca="1" si="12"/>
        <v>0</v>
      </c>
      <c r="X42" s="395">
        <f t="shared" ca="1" si="13"/>
        <v>0</v>
      </c>
      <c r="Y42" s="395">
        <f t="shared" ca="1" si="14"/>
        <v>0</v>
      </c>
      <c r="Z42" s="395">
        <f t="shared" ca="1" si="15"/>
        <v>0</v>
      </c>
      <c r="AA42" s="395">
        <f t="shared" ca="1" si="16"/>
        <v>0</v>
      </c>
      <c r="AB42" s="395">
        <f t="shared" ca="1" si="17"/>
        <v>0</v>
      </c>
      <c r="AC42" s="395">
        <f t="shared" ca="1" si="18"/>
        <v>0</v>
      </c>
      <c r="AD42" s="395">
        <f t="shared" ca="1" si="19"/>
        <v>0</v>
      </c>
      <c r="AE42" s="395">
        <f t="shared" ca="1" si="20"/>
        <v>0</v>
      </c>
      <c r="AF42" s="395">
        <f t="shared" ca="1" si="21"/>
        <v>0</v>
      </c>
      <c r="AG42" s="395">
        <f t="shared" ca="1" si="22"/>
        <v>0</v>
      </c>
      <c r="AH42" s="395">
        <f t="shared" ca="1" si="23"/>
        <v>0</v>
      </c>
      <c r="AI42" s="395">
        <f t="shared" ca="1" si="24"/>
        <v>0</v>
      </c>
      <c r="AJ42" s="395">
        <f t="shared" ca="1" si="25"/>
        <v>0</v>
      </c>
      <c r="AK42" s="395">
        <f t="shared" ca="1" si="26"/>
        <v>0</v>
      </c>
      <c r="AL42" s="395">
        <f t="shared" ca="1" si="27"/>
        <v>0</v>
      </c>
      <c r="AM42" s="395">
        <f t="shared" ca="1" si="28"/>
        <v>0</v>
      </c>
      <c r="AN42" s="395">
        <f t="shared" ca="1" si="29"/>
        <v>30000</v>
      </c>
      <c r="AO42" s="395">
        <f t="shared" ca="1" si="30"/>
        <v>0</v>
      </c>
      <c r="AP42" s="395">
        <f t="shared" ca="1" si="31"/>
        <v>0</v>
      </c>
      <c r="AQ42" s="395">
        <f t="shared" ca="1" si="32"/>
        <v>0</v>
      </c>
      <c r="AR42" s="395">
        <f t="shared" ca="1" si="33"/>
        <v>0</v>
      </c>
      <c r="AS42" s="395">
        <f t="shared" ca="1" si="34"/>
        <v>0</v>
      </c>
      <c r="AT42" s="395">
        <f t="shared" ca="1" si="35"/>
        <v>0</v>
      </c>
      <c r="AU42" s="395">
        <f t="shared" ca="1" si="36"/>
        <v>0</v>
      </c>
      <c r="AV42" s="395">
        <f t="shared" ca="1" si="37"/>
        <v>0</v>
      </c>
      <c r="AW42" s="395">
        <f t="shared" ca="1" si="38"/>
        <v>0</v>
      </c>
    </row>
    <row r="43" spans="1:49" s="392" customFormat="1" ht="12.75" customHeight="1">
      <c r="A43" s="63">
        <f t="array" aca="1" ref="A43" ca="1">IF(C43&lt;&gt;0,SUM(($C$11:C43&lt;&gt;0)*1),"")</f>
        <v>33</v>
      </c>
      <c r="B43" s="393">
        <f ca="1">IF(ROWS($1:33)&gt;COUNT(Dong6),"",OFFSET(TH!C$1,SMALL(Dong6,ROWS($1:33)),))</f>
        <v>41717</v>
      </c>
      <c r="C43" s="393" t="str">
        <f ca="1">IF(ROWS($1:33)&gt;COUNT(Dong6),"",OFFSET(TH!D$1,SMALL(Dong6,ROWS($1:33)),))</f>
        <v>GBN</v>
      </c>
      <c r="D43" s="393">
        <f ca="1">IF(ROWS($1:33)&gt;COUNT(Dong6),"",OFFSET(TH!E$1,SMALL(Dong6,ROWS($1:33)),))</f>
        <v>41717</v>
      </c>
      <c r="E43" s="443" t="str">
        <f ca="1">IF(ROWS($1:33)&gt;COUNT(Dong6),"",OFFSET(TH!F$1,SMALL(Dong6,ROWS($1:33)),))</f>
        <v>VAT Phí duy trì DV SMS</v>
      </c>
      <c r="F43" s="444">
        <f ca="1">IF(ROWS($1:33)&gt;COUNT(Dong6),"",OFFSET(TH!I$1,SMALL(Dong6,ROWS($1:33)),))</f>
        <v>3000</v>
      </c>
      <c r="G43" s="445" t="str">
        <f ca="1">IF(ROWS($1:33)&gt;COUNT(Dong6),"",OFFSET(TH!J$1,SMALL(Dong6,ROWS($1:33)),))</f>
        <v>1331</v>
      </c>
      <c r="H43" s="445" t="str">
        <f ca="1">IF(ROWS($1:33)&gt;COUNT(Dong6),"",OFFSET(TH!K$1,SMALL(Dong6,ROWS($1:33)),))</f>
        <v>1121</v>
      </c>
      <c r="I43" s="63">
        <f t="shared" ca="1" si="41"/>
        <v>33</v>
      </c>
      <c r="J43" s="395">
        <f t="shared" ca="1" si="1"/>
        <v>0</v>
      </c>
      <c r="K43" s="395">
        <f t="shared" ca="1" si="2"/>
        <v>0</v>
      </c>
      <c r="L43" s="395">
        <f t="shared" ca="1" si="3"/>
        <v>0</v>
      </c>
      <c r="M43" s="395">
        <f t="shared" ca="1" si="4"/>
        <v>3000</v>
      </c>
      <c r="N43" s="395">
        <f t="shared" ca="1" si="5"/>
        <v>3000</v>
      </c>
      <c r="O43" s="395">
        <f t="shared" ca="1" si="6"/>
        <v>0</v>
      </c>
      <c r="P43" s="395">
        <f t="shared" ca="1" si="7"/>
        <v>0</v>
      </c>
      <c r="Q43" s="395">
        <f t="shared" ca="1" si="8"/>
        <v>0</v>
      </c>
      <c r="R43" s="395">
        <f t="shared" ca="1" si="39"/>
        <v>0</v>
      </c>
      <c r="S43" s="395">
        <f t="shared" ca="1" si="40"/>
        <v>0</v>
      </c>
      <c r="T43" s="395">
        <f t="shared" ca="1" si="9"/>
        <v>0</v>
      </c>
      <c r="U43" s="395">
        <f t="shared" ca="1" si="10"/>
        <v>0</v>
      </c>
      <c r="V43" s="395">
        <f t="shared" ca="1" si="11"/>
        <v>0</v>
      </c>
      <c r="W43" s="395">
        <f t="shared" ca="1" si="12"/>
        <v>0</v>
      </c>
      <c r="X43" s="395">
        <f t="shared" ca="1" si="13"/>
        <v>0</v>
      </c>
      <c r="Y43" s="395">
        <f t="shared" ca="1" si="14"/>
        <v>0</v>
      </c>
      <c r="Z43" s="395">
        <f t="shared" ca="1" si="15"/>
        <v>0</v>
      </c>
      <c r="AA43" s="395">
        <f t="shared" ca="1" si="16"/>
        <v>0</v>
      </c>
      <c r="AB43" s="395">
        <f t="shared" ca="1" si="17"/>
        <v>0</v>
      </c>
      <c r="AC43" s="395">
        <f t="shared" ca="1" si="18"/>
        <v>0</v>
      </c>
      <c r="AD43" s="395">
        <f t="shared" ca="1" si="19"/>
        <v>0</v>
      </c>
      <c r="AE43" s="395">
        <f t="shared" ca="1" si="20"/>
        <v>0</v>
      </c>
      <c r="AF43" s="395">
        <f t="shared" ca="1" si="21"/>
        <v>0</v>
      </c>
      <c r="AG43" s="395">
        <f t="shared" ca="1" si="22"/>
        <v>0</v>
      </c>
      <c r="AH43" s="395">
        <f t="shared" ca="1" si="23"/>
        <v>0</v>
      </c>
      <c r="AI43" s="395">
        <f t="shared" ca="1" si="24"/>
        <v>0</v>
      </c>
      <c r="AJ43" s="395">
        <f t="shared" ca="1" si="25"/>
        <v>0</v>
      </c>
      <c r="AK43" s="395">
        <f t="shared" ca="1" si="26"/>
        <v>0</v>
      </c>
      <c r="AL43" s="395">
        <f t="shared" ca="1" si="27"/>
        <v>0</v>
      </c>
      <c r="AM43" s="395">
        <f t="shared" ca="1" si="28"/>
        <v>0</v>
      </c>
      <c r="AN43" s="395">
        <f t="shared" ca="1" si="29"/>
        <v>0</v>
      </c>
      <c r="AO43" s="395">
        <f t="shared" ca="1" si="30"/>
        <v>0</v>
      </c>
      <c r="AP43" s="395">
        <f t="shared" ca="1" si="31"/>
        <v>0</v>
      </c>
      <c r="AQ43" s="395">
        <f t="shared" ca="1" si="32"/>
        <v>0</v>
      </c>
      <c r="AR43" s="395">
        <f t="shared" ca="1" si="33"/>
        <v>0</v>
      </c>
      <c r="AS43" s="395">
        <f t="shared" ca="1" si="34"/>
        <v>0</v>
      </c>
      <c r="AT43" s="395">
        <f t="shared" ca="1" si="35"/>
        <v>0</v>
      </c>
      <c r="AU43" s="395">
        <f t="shared" ca="1" si="36"/>
        <v>0</v>
      </c>
      <c r="AV43" s="395">
        <f t="shared" ca="1" si="37"/>
        <v>0</v>
      </c>
      <c r="AW43" s="395">
        <f t="shared" ca="1" si="38"/>
        <v>0</v>
      </c>
    </row>
    <row r="44" spans="1:49" s="392" customFormat="1" ht="12.75" customHeight="1">
      <c r="A44" s="63">
        <f t="array" aca="1" ref="A44" ca="1">IF(C44&lt;&gt;0,SUM(($C$11:C44&lt;&gt;0)*1),"")</f>
        <v>34</v>
      </c>
      <c r="B44" s="393">
        <f ca="1">IF(ROWS($1:34)&gt;COUNT(Dong6),"",OFFSET(TH!C$1,SMALL(Dong6,ROWS($1:34)),))</f>
        <v>41717</v>
      </c>
      <c r="C44" s="393" t="str">
        <f ca="1">IF(ROWS($1:34)&gt;COUNT(Dong6),"",OFFSET(TH!D$1,SMALL(Dong6,ROWS($1:34)),))</f>
        <v>GBN</v>
      </c>
      <c r="D44" s="393">
        <f ca="1">IF(ROWS($1:34)&gt;COUNT(Dong6),"",OFFSET(TH!E$1,SMALL(Dong6,ROWS($1:34)),))</f>
        <v>41717</v>
      </c>
      <c r="E44" s="443" t="str">
        <f ca="1">IF(ROWS($1:34)&gt;COUNT(Dong6),"",OFFSET(TH!F$1,SMALL(Dong6,ROWS($1:34)),))</f>
        <v>Phí duy trì DV SMS - 0913906967</v>
      </c>
      <c r="F44" s="444">
        <f ca="1">IF(ROWS($1:34)&gt;COUNT(Dong6),"",OFFSET(TH!I$1,SMALL(Dong6,ROWS($1:34)),))</f>
        <v>30000</v>
      </c>
      <c r="G44" s="445" t="str">
        <f ca="1">IF(ROWS($1:34)&gt;COUNT(Dong6),"",OFFSET(TH!J$1,SMALL(Dong6,ROWS($1:34)),))</f>
        <v>642</v>
      </c>
      <c r="H44" s="445" t="str">
        <f ca="1">IF(ROWS($1:34)&gt;COUNT(Dong6),"",OFFSET(TH!K$1,SMALL(Dong6,ROWS($1:34)),))</f>
        <v>1121</v>
      </c>
      <c r="I44" s="63">
        <f t="shared" ca="1" si="41"/>
        <v>34</v>
      </c>
      <c r="J44" s="395">
        <f t="shared" ca="1" si="1"/>
        <v>0</v>
      </c>
      <c r="K44" s="395">
        <f t="shared" ca="1" si="2"/>
        <v>0</v>
      </c>
      <c r="L44" s="395">
        <f t="shared" ca="1" si="3"/>
        <v>0</v>
      </c>
      <c r="M44" s="395">
        <f t="shared" ca="1" si="4"/>
        <v>30000</v>
      </c>
      <c r="N44" s="395">
        <f t="shared" ca="1" si="5"/>
        <v>0</v>
      </c>
      <c r="O44" s="395">
        <f t="shared" ca="1" si="6"/>
        <v>0</v>
      </c>
      <c r="P44" s="395">
        <f t="shared" ca="1" si="7"/>
        <v>0</v>
      </c>
      <c r="Q44" s="395">
        <f t="shared" ca="1" si="8"/>
        <v>0</v>
      </c>
      <c r="R44" s="395">
        <f t="shared" ca="1" si="39"/>
        <v>0</v>
      </c>
      <c r="S44" s="395">
        <f t="shared" ca="1" si="40"/>
        <v>0</v>
      </c>
      <c r="T44" s="395">
        <f t="shared" ca="1" si="9"/>
        <v>0</v>
      </c>
      <c r="U44" s="395">
        <f t="shared" ca="1" si="10"/>
        <v>0</v>
      </c>
      <c r="V44" s="395">
        <f t="shared" ca="1" si="11"/>
        <v>0</v>
      </c>
      <c r="W44" s="395">
        <f t="shared" ca="1" si="12"/>
        <v>0</v>
      </c>
      <c r="X44" s="395">
        <f t="shared" ca="1" si="13"/>
        <v>0</v>
      </c>
      <c r="Y44" s="395">
        <f t="shared" ca="1" si="14"/>
        <v>0</v>
      </c>
      <c r="Z44" s="395">
        <f t="shared" ca="1" si="15"/>
        <v>0</v>
      </c>
      <c r="AA44" s="395">
        <f t="shared" ca="1" si="16"/>
        <v>0</v>
      </c>
      <c r="AB44" s="395">
        <f t="shared" ca="1" si="17"/>
        <v>0</v>
      </c>
      <c r="AC44" s="395">
        <f t="shared" ca="1" si="18"/>
        <v>0</v>
      </c>
      <c r="AD44" s="395">
        <f t="shared" ca="1" si="19"/>
        <v>0</v>
      </c>
      <c r="AE44" s="395">
        <f t="shared" ca="1" si="20"/>
        <v>0</v>
      </c>
      <c r="AF44" s="395">
        <f t="shared" ca="1" si="21"/>
        <v>0</v>
      </c>
      <c r="AG44" s="395">
        <f t="shared" ca="1" si="22"/>
        <v>0</v>
      </c>
      <c r="AH44" s="395">
        <f t="shared" ca="1" si="23"/>
        <v>0</v>
      </c>
      <c r="AI44" s="395">
        <f t="shared" ca="1" si="24"/>
        <v>0</v>
      </c>
      <c r="AJ44" s="395">
        <f t="shared" ca="1" si="25"/>
        <v>0</v>
      </c>
      <c r="AK44" s="395">
        <f t="shared" ca="1" si="26"/>
        <v>0</v>
      </c>
      <c r="AL44" s="395">
        <f t="shared" ca="1" si="27"/>
        <v>0</v>
      </c>
      <c r="AM44" s="395">
        <f t="shared" ca="1" si="28"/>
        <v>0</v>
      </c>
      <c r="AN44" s="395">
        <f t="shared" ca="1" si="29"/>
        <v>30000</v>
      </c>
      <c r="AO44" s="395">
        <f t="shared" ca="1" si="30"/>
        <v>0</v>
      </c>
      <c r="AP44" s="395">
        <f t="shared" ca="1" si="31"/>
        <v>0</v>
      </c>
      <c r="AQ44" s="395">
        <f t="shared" ca="1" si="32"/>
        <v>0</v>
      </c>
      <c r="AR44" s="395">
        <f t="shared" ca="1" si="33"/>
        <v>0</v>
      </c>
      <c r="AS44" s="395">
        <f t="shared" ca="1" si="34"/>
        <v>0</v>
      </c>
      <c r="AT44" s="395">
        <f t="shared" ca="1" si="35"/>
        <v>0</v>
      </c>
      <c r="AU44" s="395">
        <f t="shared" ca="1" si="36"/>
        <v>0</v>
      </c>
      <c r="AV44" s="395">
        <f t="shared" ca="1" si="37"/>
        <v>0</v>
      </c>
      <c r="AW44" s="395">
        <f t="shared" ca="1" si="38"/>
        <v>0</v>
      </c>
    </row>
    <row r="45" spans="1:49" s="392" customFormat="1" ht="12.75" customHeight="1">
      <c r="A45" s="63">
        <f t="array" aca="1" ref="A45" ca="1">IF(C45&lt;&gt;0,SUM(($C$11:C45&lt;&gt;0)*1),"")</f>
        <v>35</v>
      </c>
      <c r="B45" s="393">
        <f ca="1">IF(ROWS($1:35)&gt;COUNT(Dong6),"",OFFSET(TH!C$1,SMALL(Dong6,ROWS($1:35)),))</f>
        <v>41717</v>
      </c>
      <c r="C45" s="393" t="str">
        <f ca="1">IF(ROWS($1:35)&gt;COUNT(Dong6),"",OFFSET(TH!D$1,SMALL(Dong6,ROWS($1:35)),))</f>
        <v>GBN</v>
      </c>
      <c r="D45" s="393">
        <f ca="1">IF(ROWS($1:35)&gt;COUNT(Dong6),"",OFFSET(TH!E$1,SMALL(Dong6,ROWS($1:35)),))</f>
        <v>41717</v>
      </c>
      <c r="E45" s="443" t="str">
        <f ca="1">IF(ROWS($1:35)&gt;COUNT(Dong6),"",OFFSET(TH!F$1,SMALL(Dong6,ROWS($1:35)),))</f>
        <v>VAT Phí duy trì DV SMS</v>
      </c>
      <c r="F45" s="444">
        <f ca="1">IF(ROWS($1:35)&gt;COUNT(Dong6),"",OFFSET(TH!I$1,SMALL(Dong6,ROWS($1:35)),))</f>
        <v>3000</v>
      </c>
      <c r="G45" s="445" t="str">
        <f ca="1">IF(ROWS($1:35)&gt;COUNT(Dong6),"",OFFSET(TH!J$1,SMALL(Dong6,ROWS($1:35)),))</f>
        <v>1331</v>
      </c>
      <c r="H45" s="445" t="str">
        <f ca="1">IF(ROWS($1:35)&gt;COUNT(Dong6),"",OFFSET(TH!K$1,SMALL(Dong6,ROWS($1:35)),))</f>
        <v>1121</v>
      </c>
      <c r="I45" s="63">
        <f t="shared" ca="1" si="41"/>
        <v>35</v>
      </c>
      <c r="J45" s="395">
        <f t="shared" ca="1" si="1"/>
        <v>0</v>
      </c>
      <c r="K45" s="395">
        <f t="shared" ca="1" si="2"/>
        <v>0</v>
      </c>
      <c r="L45" s="395">
        <f t="shared" ca="1" si="3"/>
        <v>0</v>
      </c>
      <c r="M45" s="395">
        <f t="shared" ca="1" si="4"/>
        <v>3000</v>
      </c>
      <c r="N45" s="395">
        <f t="shared" ca="1" si="5"/>
        <v>3000</v>
      </c>
      <c r="O45" s="395">
        <f t="shared" ca="1" si="6"/>
        <v>0</v>
      </c>
      <c r="P45" s="395">
        <f t="shared" ca="1" si="7"/>
        <v>0</v>
      </c>
      <c r="Q45" s="395">
        <f t="shared" ca="1" si="8"/>
        <v>0</v>
      </c>
      <c r="R45" s="395">
        <f t="shared" ca="1" si="39"/>
        <v>0</v>
      </c>
      <c r="S45" s="395">
        <f t="shared" ca="1" si="40"/>
        <v>0</v>
      </c>
      <c r="T45" s="395">
        <f t="shared" ca="1" si="9"/>
        <v>0</v>
      </c>
      <c r="U45" s="395">
        <f t="shared" ca="1" si="10"/>
        <v>0</v>
      </c>
      <c r="V45" s="395">
        <f t="shared" ca="1" si="11"/>
        <v>0</v>
      </c>
      <c r="W45" s="395">
        <f t="shared" ca="1" si="12"/>
        <v>0</v>
      </c>
      <c r="X45" s="395">
        <f t="shared" ca="1" si="13"/>
        <v>0</v>
      </c>
      <c r="Y45" s="395">
        <f t="shared" ca="1" si="14"/>
        <v>0</v>
      </c>
      <c r="Z45" s="395">
        <f t="shared" ca="1" si="15"/>
        <v>0</v>
      </c>
      <c r="AA45" s="395">
        <f t="shared" ca="1" si="16"/>
        <v>0</v>
      </c>
      <c r="AB45" s="395">
        <f t="shared" ca="1" si="17"/>
        <v>0</v>
      </c>
      <c r="AC45" s="395">
        <f t="shared" ca="1" si="18"/>
        <v>0</v>
      </c>
      <c r="AD45" s="395">
        <f t="shared" ca="1" si="19"/>
        <v>0</v>
      </c>
      <c r="AE45" s="395">
        <f t="shared" ca="1" si="20"/>
        <v>0</v>
      </c>
      <c r="AF45" s="395">
        <f t="shared" ca="1" si="21"/>
        <v>0</v>
      </c>
      <c r="AG45" s="395">
        <f t="shared" ca="1" si="22"/>
        <v>0</v>
      </c>
      <c r="AH45" s="395">
        <f t="shared" ca="1" si="23"/>
        <v>0</v>
      </c>
      <c r="AI45" s="395">
        <f t="shared" ca="1" si="24"/>
        <v>0</v>
      </c>
      <c r="AJ45" s="395">
        <f t="shared" ca="1" si="25"/>
        <v>0</v>
      </c>
      <c r="AK45" s="395">
        <f t="shared" ca="1" si="26"/>
        <v>0</v>
      </c>
      <c r="AL45" s="395">
        <f t="shared" ca="1" si="27"/>
        <v>0</v>
      </c>
      <c r="AM45" s="395">
        <f t="shared" ca="1" si="28"/>
        <v>0</v>
      </c>
      <c r="AN45" s="395">
        <f t="shared" ca="1" si="29"/>
        <v>0</v>
      </c>
      <c r="AO45" s="395">
        <f t="shared" ca="1" si="30"/>
        <v>0</v>
      </c>
      <c r="AP45" s="395">
        <f t="shared" ca="1" si="31"/>
        <v>0</v>
      </c>
      <c r="AQ45" s="395">
        <f t="shared" ca="1" si="32"/>
        <v>0</v>
      </c>
      <c r="AR45" s="395">
        <f t="shared" ca="1" si="33"/>
        <v>0</v>
      </c>
      <c r="AS45" s="395">
        <f t="shared" ca="1" si="34"/>
        <v>0</v>
      </c>
      <c r="AT45" s="395">
        <f t="shared" ca="1" si="35"/>
        <v>0</v>
      </c>
      <c r="AU45" s="395">
        <f t="shared" ca="1" si="36"/>
        <v>0</v>
      </c>
      <c r="AV45" s="395">
        <f t="shared" ca="1" si="37"/>
        <v>0</v>
      </c>
      <c r="AW45" s="395">
        <f t="shared" ca="1" si="38"/>
        <v>0</v>
      </c>
    </row>
    <row r="46" spans="1:49" s="392" customFormat="1" ht="12.75" customHeight="1">
      <c r="A46" s="63">
        <f t="array" aca="1" ref="A46" ca="1">IF(C46&lt;&gt;0,SUM(($C$11:C46&lt;&gt;0)*1),"")</f>
        <v>36</v>
      </c>
      <c r="B46" s="393">
        <f ca="1">IF(ROWS($1:36)&gt;COUNT(Dong6),"",OFFSET(TH!C$1,SMALL(Dong6,ROWS($1:36)),))</f>
        <v>41717</v>
      </c>
      <c r="C46" s="393" t="str">
        <f ca="1">IF(ROWS($1:36)&gt;COUNT(Dong6),"",OFFSET(TH!D$1,SMALL(Dong6,ROWS($1:36)),))</f>
        <v>GBN</v>
      </c>
      <c r="D46" s="393">
        <f ca="1">IF(ROWS($1:36)&gt;COUNT(Dong6),"",OFFSET(TH!E$1,SMALL(Dong6,ROWS($1:36)),))</f>
        <v>41717</v>
      </c>
      <c r="E46" s="443" t="str">
        <f ca="1">IF(ROWS($1:36)&gt;COUNT(Dong6),"",OFFSET(TH!F$1,SMALL(Dong6,ROWS($1:36)),))</f>
        <v>Phí duy trì DV SMS - 0982911262</v>
      </c>
      <c r="F46" s="444">
        <f ca="1">IF(ROWS($1:36)&gt;COUNT(Dong6),"",OFFSET(TH!I$1,SMALL(Dong6,ROWS($1:36)),))</f>
        <v>30000</v>
      </c>
      <c r="G46" s="445" t="str">
        <f ca="1">IF(ROWS($1:36)&gt;COUNT(Dong6),"",OFFSET(TH!J$1,SMALL(Dong6,ROWS($1:36)),))</f>
        <v>642</v>
      </c>
      <c r="H46" s="445" t="str">
        <f ca="1">IF(ROWS($1:36)&gt;COUNT(Dong6),"",OFFSET(TH!K$1,SMALL(Dong6,ROWS($1:36)),))</f>
        <v>1121</v>
      </c>
      <c r="I46" s="63">
        <f t="shared" ca="1" si="41"/>
        <v>36</v>
      </c>
      <c r="J46" s="395">
        <f t="shared" ca="1" si="1"/>
        <v>0</v>
      </c>
      <c r="K46" s="395">
        <f t="shared" ca="1" si="2"/>
        <v>0</v>
      </c>
      <c r="L46" s="395">
        <f t="shared" ca="1" si="3"/>
        <v>0</v>
      </c>
      <c r="M46" s="395">
        <f t="shared" ca="1" si="4"/>
        <v>30000</v>
      </c>
      <c r="N46" s="395">
        <f t="shared" ca="1" si="5"/>
        <v>0</v>
      </c>
      <c r="O46" s="395">
        <f t="shared" ca="1" si="6"/>
        <v>0</v>
      </c>
      <c r="P46" s="395">
        <f t="shared" ca="1" si="7"/>
        <v>0</v>
      </c>
      <c r="Q46" s="395">
        <f t="shared" ca="1" si="8"/>
        <v>0</v>
      </c>
      <c r="R46" s="395">
        <f t="shared" ca="1" si="39"/>
        <v>0</v>
      </c>
      <c r="S46" s="395">
        <f t="shared" ca="1" si="40"/>
        <v>0</v>
      </c>
      <c r="T46" s="395">
        <f t="shared" ca="1" si="9"/>
        <v>0</v>
      </c>
      <c r="U46" s="395">
        <f t="shared" ca="1" si="10"/>
        <v>0</v>
      </c>
      <c r="V46" s="395">
        <f t="shared" ca="1" si="11"/>
        <v>0</v>
      </c>
      <c r="W46" s="395">
        <f t="shared" ca="1" si="12"/>
        <v>0</v>
      </c>
      <c r="X46" s="395">
        <f t="shared" ca="1" si="13"/>
        <v>0</v>
      </c>
      <c r="Y46" s="395">
        <f t="shared" ca="1" si="14"/>
        <v>0</v>
      </c>
      <c r="Z46" s="395">
        <f t="shared" ca="1" si="15"/>
        <v>0</v>
      </c>
      <c r="AA46" s="395">
        <f t="shared" ca="1" si="16"/>
        <v>0</v>
      </c>
      <c r="AB46" s="395">
        <f t="shared" ca="1" si="17"/>
        <v>0</v>
      </c>
      <c r="AC46" s="395">
        <f t="shared" ca="1" si="18"/>
        <v>0</v>
      </c>
      <c r="AD46" s="395">
        <f t="shared" ca="1" si="19"/>
        <v>0</v>
      </c>
      <c r="AE46" s="395">
        <f t="shared" ca="1" si="20"/>
        <v>0</v>
      </c>
      <c r="AF46" s="395">
        <f t="shared" ca="1" si="21"/>
        <v>0</v>
      </c>
      <c r="AG46" s="395">
        <f t="shared" ca="1" si="22"/>
        <v>0</v>
      </c>
      <c r="AH46" s="395">
        <f t="shared" ca="1" si="23"/>
        <v>0</v>
      </c>
      <c r="AI46" s="395">
        <f t="shared" ca="1" si="24"/>
        <v>0</v>
      </c>
      <c r="AJ46" s="395">
        <f t="shared" ca="1" si="25"/>
        <v>0</v>
      </c>
      <c r="AK46" s="395">
        <f t="shared" ca="1" si="26"/>
        <v>0</v>
      </c>
      <c r="AL46" s="395">
        <f t="shared" ca="1" si="27"/>
        <v>0</v>
      </c>
      <c r="AM46" s="395">
        <f t="shared" ca="1" si="28"/>
        <v>0</v>
      </c>
      <c r="AN46" s="395">
        <f t="shared" ca="1" si="29"/>
        <v>30000</v>
      </c>
      <c r="AO46" s="395">
        <f t="shared" ca="1" si="30"/>
        <v>0</v>
      </c>
      <c r="AP46" s="395">
        <f t="shared" ca="1" si="31"/>
        <v>0</v>
      </c>
      <c r="AQ46" s="395">
        <f t="shared" ca="1" si="32"/>
        <v>0</v>
      </c>
      <c r="AR46" s="395">
        <f t="shared" ca="1" si="33"/>
        <v>0</v>
      </c>
      <c r="AS46" s="395">
        <f t="shared" ca="1" si="34"/>
        <v>0</v>
      </c>
      <c r="AT46" s="395">
        <f t="shared" ca="1" si="35"/>
        <v>0</v>
      </c>
      <c r="AU46" s="395">
        <f t="shared" ca="1" si="36"/>
        <v>0</v>
      </c>
      <c r="AV46" s="395">
        <f t="shared" ca="1" si="37"/>
        <v>0</v>
      </c>
      <c r="AW46" s="395">
        <f t="shared" ca="1" si="38"/>
        <v>0</v>
      </c>
    </row>
    <row r="47" spans="1:49" s="392" customFormat="1" ht="12.75" customHeight="1">
      <c r="A47" s="63">
        <f t="array" aca="1" ref="A47" ca="1">IF(C47&lt;&gt;0,SUM(($C$11:C47&lt;&gt;0)*1),"")</f>
        <v>37</v>
      </c>
      <c r="B47" s="393">
        <f ca="1">IF(ROWS($1:37)&gt;COUNT(Dong6),"",OFFSET(TH!C$1,SMALL(Dong6,ROWS($1:37)),))</f>
        <v>41717</v>
      </c>
      <c r="C47" s="393" t="str">
        <f ca="1">IF(ROWS($1:37)&gt;COUNT(Dong6),"",OFFSET(TH!D$1,SMALL(Dong6,ROWS($1:37)),))</f>
        <v>GBN</v>
      </c>
      <c r="D47" s="393">
        <f ca="1">IF(ROWS($1:37)&gt;COUNT(Dong6),"",OFFSET(TH!E$1,SMALL(Dong6,ROWS($1:37)),))</f>
        <v>41717</v>
      </c>
      <c r="E47" s="443" t="str">
        <f ca="1">IF(ROWS($1:37)&gt;COUNT(Dong6),"",OFFSET(TH!F$1,SMALL(Dong6,ROWS($1:37)),))</f>
        <v>VAT Phí duy trì DV SMS</v>
      </c>
      <c r="F47" s="444">
        <f ca="1">IF(ROWS($1:37)&gt;COUNT(Dong6),"",OFFSET(TH!I$1,SMALL(Dong6,ROWS($1:37)),))</f>
        <v>3000</v>
      </c>
      <c r="G47" s="445" t="str">
        <f ca="1">IF(ROWS($1:37)&gt;COUNT(Dong6),"",OFFSET(TH!J$1,SMALL(Dong6,ROWS($1:37)),))</f>
        <v>1331</v>
      </c>
      <c r="H47" s="445" t="str">
        <f ca="1">IF(ROWS($1:37)&gt;COUNT(Dong6),"",OFFSET(TH!K$1,SMALL(Dong6,ROWS($1:37)),))</f>
        <v>1121</v>
      </c>
      <c r="I47" s="63">
        <f t="shared" ca="1" si="41"/>
        <v>37</v>
      </c>
      <c r="J47" s="395">
        <f t="shared" ca="1" si="1"/>
        <v>0</v>
      </c>
      <c r="K47" s="395">
        <f t="shared" ca="1" si="2"/>
        <v>0</v>
      </c>
      <c r="L47" s="395">
        <f t="shared" ca="1" si="3"/>
        <v>0</v>
      </c>
      <c r="M47" s="395">
        <f t="shared" ca="1" si="4"/>
        <v>3000</v>
      </c>
      <c r="N47" s="395">
        <f t="shared" ca="1" si="5"/>
        <v>3000</v>
      </c>
      <c r="O47" s="395">
        <f t="shared" ca="1" si="6"/>
        <v>0</v>
      </c>
      <c r="P47" s="395">
        <f t="shared" ca="1" si="7"/>
        <v>0</v>
      </c>
      <c r="Q47" s="395">
        <f t="shared" ca="1" si="8"/>
        <v>0</v>
      </c>
      <c r="R47" s="395">
        <f t="shared" ca="1" si="39"/>
        <v>0</v>
      </c>
      <c r="S47" s="395">
        <f t="shared" ca="1" si="40"/>
        <v>0</v>
      </c>
      <c r="T47" s="395">
        <f t="shared" ca="1" si="9"/>
        <v>0</v>
      </c>
      <c r="U47" s="395">
        <f t="shared" ca="1" si="10"/>
        <v>0</v>
      </c>
      <c r="V47" s="395">
        <f t="shared" ca="1" si="11"/>
        <v>0</v>
      </c>
      <c r="W47" s="395">
        <f t="shared" ca="1" si="12"/>
        <v>0</v>
      </c>
      <c r="X47" s="395">
        <f t="shared" ca="1" si="13"/>
        <v>0</v>
      </c>
      <c r="Y47" s="395">
        <f t="shared" ca="1" si="14"/>
        <v>0</v>
      </c>
      <c r="Z47" s="395">
        <f t="shared" ca="1" si="15"/>
        <v>0</v>
      </c>
      <c r="AA47" s="395">
        <f t="shared" ca="1" si="16"/>
        <v>0</v>
      </c>
      <c r="AB47" s="395">
        <f t="shared" ca="1" si="17"/>
        <v>0</v>
      </c>
      <c r="AC47" s="395">
        <f t="shared" ca="1" si="18"/>
        <v>0</v>
      </c>
      <c r="AD47" s="395">
        <f t="shared" ca="1" si="19"/>
        <v>0</v>
      </c>
      <c r="AE47" s="395">
        <f t="shared" ca="1" si="20"/>
        <v>0</v>
      </c>
      <c r="AF47" s="395">
        <f t="shared" ca="1" si="21"/>
        <v>0</v>
      </c>
      <c r="AG47" s="395">
        <f t="shared" ca="1" si="22"/>
        <v>0</v>
      </c>
      <c r="AH47" s="395">
        <f t="shared" ca="1" si="23"/>
        <v>0</v>
      </c>
      <c r="AI47" s="395">
        <f t="shared" ca="1" si="24"/>
        <v>0</v>
      </c>
      <c r="AJ47" s="395">
        <f t="shared" ca="1" si="25"/>
        <v>0</v>
      </c>
      <c r="AK47" s="395">
        <f t="shared" ca="1" si="26"/>
        <v>0</v>
      </c>
      <c r="AL47" s="395">
        <f t="shared" ca="1" si="27"/>
        <v>0</v>
      </c>
      <c r="AM47" s="395">
        <f t="shared" ca="1" si="28"/>
        <v>0</v>
      </c>
      <c r="AN47" s="395">
        <f t="shared" ca="1" si="29"/>
        <v>0</v>
      </c>
      <c r="AO47" s="395">
        <f t="shared" ca="1" si="30"/>
        <v>0</v>
      </c>
      <c r="AP47" s="395">
        <f t="shared" ca="1" si="31"/>
        <v>0</v>
      </c>
      <c r="AQ47" s="395">
        <f t="shared" ca="1" si="32"/>
        <v>0</v>
      </c>
      <c r="AR47" s="395">
        <f t="shared" ca="1" si="33"/>
        <v>0</v>
      </c>
      <c r="AS47" s="395">
        <f t="shared" ca="1" si="34"/>
        <v>0</v>
      </c>
      <c r="AT47" s="395">
        <f t="shared" ca="1" si="35"/>
        <v>0</v>
      </c>
      <c r="AU47" s="395">
        <f t="shared" ca="1" si="36"/>
        <v>0</v>
      </c>
      <c r="AV47" s="395">
        <f t="shared" ca="1" si="37"/>
        <v>0</v>
      </c>
      <c r="AW47" s="395">
        <f t="shared" ca="1" si="38"/>
        <v>0</v>
      </c>
    </row>
    <row r="48" spans="1:49" s="392" customFormat="1" ht="12.75" customHeight="1">
      <c r="A48" s="63">
        <f t="array" aca="1" ref="A48" ca="1">IF(C48&lt;&gt;0,SUM(($C$11:C48&lt;&gt;0)*1),"")</f>
        <v>38</v>
      </c>
      <c r="B48" s="393">
        <f ca="1">IF(ROWS($1:38)&gt;COUNT(Dong6),"",OFFSET(TH!C$1,SMALL(Dong6,ROWS($1:38)),))</f>
        <v>41718</v>
      </c>
      <c r="C48" s="393" t="str">
        <f ca="1">IF(ROWS($1:38)&gt;COUNT(Dong6),"",OFFSET(TH!D$1,SMALL(Dong6,ROWS($1:38)),))</f>
        <v>C06</v>
      </c>
      <c r="D48" s="393">
        <f ca="1">IF(ROWS($1:38)&gt;COUNT(Dong6),"",OFFSET(TH!E$1,SMALL(Dong6,ROWS($1:38)),))</f>
        <v>41718</v>
      </c>
      <c r="E48" s="443" t="str">
        <f ca="1">IF(ROWS($1:38)&gt;COUNT(Dong6),"",OFFSET(TH!F$1,SMALL(Dong6,ROWS($1:38)),))</f>
        <v>Nộp tiền mặt vào tài khoản ngân hàng</v>
      </c>
      <c r="F48" s="444">
        <f ca="1">IF(ROWS($1:38)&gt;COUNT(Dong6),"",OFFSET(TH!I$1,SMALL(Dong6,ROWS($1:38)),))</f>
        <v>133200000</v>
      </c>
      <c r="G48" s="445" t="str">
        <f ca="1">IF(ROWS($1:38)&gt;COUNT(Dong6),"",OFFSET(TH!J$1,SMALL(Dong6,ROWS($1:38)),))</f>
        <v>1121</v>
      </c>
      <c r="H48" s="445" t="str">
        <f ca="1">IF(ROWS($1:38)&gt;COUNT(Dong6),"",OFFSET(TH!K$1,SMALL(Dong6,ROWS($1:38)),))</f>
        <v>1111</v>
      </c>
      <c r="I48" s="63">
        <f t="shared" ca="1" si="41"/>
        <v>38</v>
      </c>
      <c r="J48" s="395">
        <f t="shared" ca="1" si="1"/>
        <v>0</v>
      </c>
      <c r="K48" s="395">
        <f t="shared" ca="1" si="2"/>
        <v>133200000</v>
      </c>
      <c r="L48" s="395">
        <f t="shared" ca="1" si="3"/>
        <v>133200000</v>
      </c>
      <c r="M48" s="395">
        <f t="shared" ca="1" si="4"/>
        <v>0</v>
      </c>
      <c r="N48" s="395">
        <f t="shared" ca="1" si="5"/>
        <v>0</v>
      </c>
      <c r="O48" s="395">
        <f t="shared" ca="1" si="6"/>
        <v>0</v>
      </c>
      <c r="P48" s="395">
        <f t="shared" ca="1" si="7"/>
        <v>0</v>
      </c>
      <c r="Q48" s="395">
        <f t="shared" ca="1" si="8"/>
        <v>0</v>
      </c>
      <c r="R48" s="395">
        <f t="shared" ca="1" si="39"/>
        <v>0</v>
      </c>
      <c r="S48" s="395">
        <f t="shared" ca="1" si="40"/>
        <v>0</v>
      </c>
      <c r="T48" s="395">
        <f t="shared" ca="1" si="9"/>
        <v>0</v>
      </c>
      <c r="U48" s="395">
        <f t="shared" ca="1" si="10"/>
        <v>0</v>
      </c>
      <c r="V48" s="395">
        <f t="shared" ca="1" si="11"/>
        <v>0</v>
      </c>
      <c r="W48" s="395">
        <f t="shared" ca="1" si="12"/>
        <v>0</v>
      </c>
      <c r="X48" s="395">
        <f t="shared" ca="1" si="13"/>
        <v>0</v>
      </c>
      <c r="Y48" s="395">
        <f t="shared" ca="1" si="14"/>
        <v>0</v>
      </c>
      <c r="Z48" s="395">
        <f t="shared" ca="1" si="15"/>
        <v>0</v>
      </c>
      <c r="AA48" s="395">
        <f t="shared" ca="1" si="16"/>
        <v>0</v>
      </c>
      <c r="AB48" s="395">
        <f t="shared" ca="1" si="17"/>
        <v>0</v>
      </c>
      <c r="AC48" s="395">
        <f t="shared" ca="1" si="18"/>
        <v>0</v>
      </c>
      <c r="AD48" s="395">
        <f t="shared" ca="1" si="19"/>
        <v>0</v>
      </c>
      <c r="AE48" s="395">
        <f t="shared" ca="1" si="20"/>
        <v>0</v>
      </c>
      <c r="AF48" s="395">
        <f t="shared" ca="1" si="21"/>
        <v>0</v>
      </c>
      <c r="AG48" s="395">
        <f t="shared" ca="1" si="22"/>
        <v>0</v>
      </c>
      <c r="AH48" s="395">
        <f t="shared" ca="1" si="23"/>
        <v>0</v>
      </c>
      <c r="AI48" s="395">
        <f t="shared" ca="1" si="24"/>
        <v>0</v>
      </c>
      <c r="AJ48" s="395">
        <f t="shared" ca="1" si="25"/>
        <v>0</v>
      </c>
      <c r="AK48" s="395">
        <f t="shared" ca="1" si="26"/>
        <v>0</v>
      </c>
      <c r="AL48" s="395">
        <f t="shared" ca="1" si="27"/>
        <v>0</v>
      </c>
      <c r="AM48" s="395">
        <f t="shared" ca="1" si="28"/>
        <v>0</v>
      </c>
      <c r="AN48" s="395">
        <f t="shared" ca="1" si="29"/>
        <v>0</v>
      </c>
      <c r="AO48" s="395">
        <f t="shared" ca="1" si="30"/>
        <v>0</v>
      </c>
      <c r="AP48" s="395">
        <f t="shared" ca="1" si="31"/>
        <v>0</v>
      </c>
      <c r="AQ48" s="395">
        <f t="shared" ca="1" si="32"/>
        <v>0</v>
      </c>
      <c r="AR48" s="395">
        <f t="shared" ca="1" si="33"/>
        <v>0</v>
      </c>
      <c r="AS48" s="395">
        <f t="shared" ca="1" si="34"/>
        <v>0</v>
      </c>
      <c r="AT48" s="395">
        <f t="shared" ca="1" si="35"/>
        <v>0</v>
      </c>
      <c r="AU48" s="395">
        <f t="shared" ca="1" si="36"/>
        <v>0</v>
      </c>
      <c r="AV48" s="395">
        <f t="shared" ca="1" si="37"/>
        <v>0</v>
      </c>
      <c r="AW48" s="395">
        <f t="shared" ca="1" si="38"/>
        <v>0</v>
      </c>
    </row>
    <row r="49" spans="1:49" s="392" customFormat="1" ht="12.75" customHeight="1">
      <c r="A49" s="63">
        <f t="array" aca="1" ref="A49" ca="1">IF(C49&lt;&gt;0,SUM(($C$11:C49&lt;&gt;0)*1),"")</f>
        <v>39</v>
      </c>
      <c r="B49" s="393">
        <f ca="1">IF(ROWS($1:39)&gt;COUNT(Dong6),"",OFFSET(TH!C$1,SMALL(Dong6,ROWS($1:39)),))</f>
        <v>41718</v>
      </c>
      <c r="C49" s="393" t="str">
        <f ca="1">IF(ROWS($1:39)&gt;COUNT(Dong6),"",OFFSET(TH!D$1,SMALL(Dong6,ROWS($1:39)),))</f>
        <v>GBN</v>
      </c>
      <c r="D49" s="393">
        <f ca="1">IF(ROWS($1:39)&gt;COUNT(Dong6),"",OFFSET(TH!E$1,SMALL(Dong6,ROWS($1:39)),))</f>
        <v>41718</v>
      </c>
      <c r="E49" s="443" t="str">
        <f ca="1">IF(ROWS($1:39)&gt;COUNT(Dong6),"",OFFSET(TH!F$1,SMALL(Dong6,ROWS($1:39)),))</f>
        <v>Ứng tiền cọc betong IBS</v>
      </c>
      <c r="F49" s="444">
        <f ca="1">IF(ROWS($1:39)&gt;COUNT(Dong6),"",OFFSET(TH!I$1,SMALL(Dong6,ROWS($1:39)),))</f>
        <v>133147080</v>
      </c>
      <c r="G49" s="445" t="str">
        <f ca="1">IF(ROWS($1:39)&gt;COUNT(Dong6),"",OFFSET(TH!J$1,SMALL(Dong6,ROWS($1:39)),))</f>
        <v>331</v>
      </c>
      <c r="H49" s="445" t="str">
        <f ca="1">IF(ROWS($1:39)&gt;COUNT(Dong6),"",OFFSET(TH!K$1,SMALL(Dong6,ROWS($1:39)),))</f>
        <v>1121</v>
      </c>
      <c r="I49" s="63">
        <f t="shared" ca="1" si="41"/>
        <v>39</v>
      </c>
      <c r="J49" s="395">
        <f t="shared" ca="1" si="1"/>
        <v>0</v>
      </c>
      <c r="K49" s="395">
        <f t="shared" ca="1" si="2"/>
        <v>0</v>
      </c>
      <c r="L49" s="395">
        <f t="shared" ca="1" si="3"/>
        <v>0</v>
      </c>
      <c r="M49" s="395">
        <f t="shared" ca="1" si="4"/>
        <v>133147080</v>
      </c>
      <c r="N49" s="395">
        <f t="shared" ca="1" si="5"/>
        <v>0</v>
      </c>
      <c r="O49" s="395">
        <f t="shared" ca="1" si="6"/>
        <v>0</v>
      </c>
      <c r="P49" s="395">
        <f t="shared" ca="1" si="7"/>
        <v>0</v>
      </c>
      <c r="Q49" s="395">
        <f t="shared" ca="1" si="8"/>
        <v>0</v>
      </c>
      <c r="R49" s="395">
        <f t="shared" ca="1" si="39"/>
        <v>0</v>
      </c>
      <c r="S49" s="395">
        <f t="shared" ca="1" si="40"/>
        <v>0</v>
      </c>
      <c r="T49" s="395">
        <f t="shared" ca="1" si="9"/>
        <v>133147080</v>
      </c>
      <c r="U49" s="395">
        <f t="shared" ca="1" si="10"/>
        <v>0</v>
      </c>
      <c r="V49" s="395">
        <f t="shared" ca="1" si="11"/>
        <v>0</v>
      </c>
      <c r="W49" s="395">
        <f t="shared" ca="1" si="12"/>
        <v>0</v>
      </c>
      <c r="X49" s="395">
        <f t="shared" ca="1" si="13"/>
        <v>0</v>
      </c>
      <c r="Y49" s="395">
        <f t="shared" ca="1" si="14"/>
        <v>0</v>
      </c>
      <c r="Z49" s="395">
        <f t="shared" ca="1" si="15"/>
        <v>0</v>
      </c>
      <c r="AA49" s="395">
        <f t="shared" ca="1" si="16"/>
        <v>0</v>
      </c>
      <c r="AB49" s="395">
        <f t="shared" ca="1" si="17"/>
        <v>0</v>
      </c>
      <c r="AC49" s="395">
        <f t="shared" ca="1" si="18"/>
        <v>0</v>
      </c>
      <c r="AD49" s="395">
        <f t="shared" ca="1" si="19"/>
        <v>0</v>
      </c>
      <c r="AE49" s="395">
        <f t="shared" ca="1" si="20"/>
        <v>0</v>
      </c>
      <c r="AF49" s="395">
        <f t="shared" ca="1" si="21"/>
        <v>0</v>
      </c>
      <c r="AG49" s="395">
        <f t="shared" ca="1" si="22"/>
        <v>0</v>
      </c>
      <c r="AH49" s="395">
        <f t="shared" ca="1" si="23"/>
        <v>0</v>
      </c>
      <c r="AI49" s="395">
        <f t="shared" ca="1" si="24"/>
        <v>0</v>
      </c>
      <c r="AJ49" s="395">
        <f t="shared" ca="1" si="25"/>
        <v>0</v>
      </c>
      <c r="AK49" s="395">
        <f t="shared" ca="1" si="26"/>
        <v>0</v>
      </c>
      <c r="AL49" s="395">
        <f t="shared" ca="1" si="27"/>
        <v>0</v>
      </c>
      <c r="AM49" s="395">
        <f t="shared" ca="1" si="28"/>
        <v>0</v>
      </c>
      <c r="AN49" s="395">
        <f t="shared" ca="1" si="29"/>
        <v>0</v>
      </c>
      <c r="AO49" s="395">
        <f t="shared" ca="1" si="30"/>
        <v>0</v>
      </c>
      <c r="AP49" s="395">
        <f t="shared" ca="1" si="31"/>
        <v>0</v>
      </c>
      <c r="AQ49" s="395">
        <f t="shared" ca="1" si="32"/>
        <v>0</v>
      </c>
      <c r="AR49" s="395">
        <f t="shared" ca="1" si="33"/>
        <v>0</v>
      </c>
      <c r="AS49" s="395">
        <f t="shared" ca="1" si="34"/>
        <v>0</v>
      </c>
      <c r="AT49" s="395">
        <f t="shared" ca="1" si="35"/>
        <v>0</v>
      </c>
      <c r="AU49" s="395">
        <f t="shared" ca="1" si="36"/>
        <v>0</v>
      </c>
      <c r="AV49" s="395">
        <f t="shared" ca="1" si="37"/>
        <v>0</v>
      </c>
      <c r="AW49" s="395">
        <f t="shared" ca="1" si="38"/>
        <v>0</v>
      </c>
    </row>
    <row r="50" spans="1:49" s="392" customFormat="1" ht="12.75" customHeight="1">
      <c r="A50" s="63">
        <f t="array" aca="1" ref="A50" ca="1">IF(C50&lt;&gt;0,SUM(($C$11:C50&lt;&gt;0)*1),"")</f>
        <v>40</v>
      </c>
      <c r="B50" s="393">
        <f ca="1">IF(ROWS($1:40)&gt;COUNT(Dong6),"",OFFSET(TH!C$1,SMALL(Dong6,ROWS($1:40)),))</f>
        <v>41718</v>
      </c>
      <c r="C50" s="393" t="str">
        <f ca="1">IF(ROWS($1:40)&gt;COUNT(Dong6),"",OFFSET(TH!D$1,SMALL(Dong6,ROWS($1:40)),))</f>
        <v>GBN</v>
      </c>
      <c r="D50" s="393">
        <f ca="1">IF(ROWS($1:40)&gt;COUNT(Dong6),"",OFFSET(TH!E$1,SMALL(Dong6,ROWS($1:40)),))</f>
        <v>41718</v>
      </c>
      <c r="E50" s="443" t="str">
        <f ca="1">IF(ROWS($1:40)&gt;COUNT(Dong6),"",OFFSET(TH!F$1,SMALL(Dong6,ROWS($1:40)),))</f>
        <v xml:space="preserve">Phí chuyển tiền </v>
      </c>
      <c r="F50" s="444">
        <f ca="1">IF(ROWS($1:40)&gt;COUNT(Dong6),"",OFFSET(TH!I$1,SMALL(Dong6,ROWS($1:40)),))</f>
        <v>52911</v>
      </c>
      <c r="G50" s="445" t="str">
        <f ca="1">IF(ROWS($1:40)&gt;COUNT(Dong6),"",OFFSET(TH!J$1,SMALL(Dong6,ROWS($1:40)),))</f>
        <v>642</v>
      </c>
      <c r="H50" s="445" t="str">
        <f ca="1">IF(ROWS($1:40)&gt;COUNT(Dong6),"",OFFSET(TH!K$1,SMALL(Dong6,ROWS($1:40)),))</f>
        <v>1121</v>
      </c>
      <c r="I50" s="63">
        <f t="shared" ca="1" si="41"/>
        <v>40</v>
      </c>
      <c r="J50" s="395">
        <f t="shared" ca="1" si="1"/>
        <v>0</v>
      </c>
      <c r="K50" s="395">
        <f t="shared" ca="1" si="2"/>
        <v>0</v>
      </c>
      <c r="L50" s="395">
        <f t="shared" ca="1" si="3"/>
        <v>0</v>
      </c>
      <c r="M50" s="395">
        <f t="shared" ca="1" si="4"/>
        <v>52911</v>
      </c>
      <c r="N50" s="395">
        <f t="shared" ca="1" si="5"/>
        <v>0</v>
      </c>
      <c r="O50" s="395">
        <f t="shared" ca="1" si="6"/>
        <v>0</v>
      </c>
      <c r="P50" s="395">
        <f t="shared" ca="1" si="7"/>
        <v>0</v>
      </c>
      <c r="Q50" s="395">
        <f t="shared" ca="1" si="8"/>
        <v>0</v>
      </c>
      <c r="R50" s="395">
        <f t="shared" ca="1" si="39"/>
        <v>0</v>
      </c>
      <c r="S50" s="395">
        <f t="shared" ca="1" si="40"/>
        <v>0</v>
      </c>
      <c r="T50" s="395">
        <f t="shared" ca="1" si="9"/>
        <v>0</v>
      </c>
      <c r="U50" s="395">
        <f t="shared" ca="1" si="10"/>
        <v>0</v>
      </c>
      <c r="V50" s="395">
        <f t="shared" ca="1" si="11"/>
        <v>0</v>
      </c>
      <c r="W50" s="395">
        <f t="shared" ca="1" si="12"/>
        <v>0</v>
      </c>
      <c r="X50" s="395">
        <f t="shared" ca="1" si="13"/>
        <v>0</v>
      </c>
      <c r="Y50" s="395">
        <f t="shared" ca="1" si="14"/>
        <v>0</v>
      </c>
      <c r="Z50" s="395">
        <f t="shared" ca="1" si="15"/>
        <v>0</v>
      </c>
      <c r="AA50" s="395">
        <f t="shared" ca="1" si="16"/>
        <v>0</v>
      </c>
      <c r="AB50" s="395">
        <f t="shared" ca="1" si="17"/>
        <v>0</v>
      </c>
      <c r="AC50" s="395">
        <f t="shared" ca="1" si="18"/>
        <v>0</v>
      </c>
      <c r="AD50" s="395">
        <f t="shared" ca="1" si="19"/>
        <v>0</v>
      </c>
      <c r="AE50" s="395">
        <f t="shared" ca="1" si="20"/>
        <v>0</v>
      </c>
      <c r="AF50" s="395">
        <f t="shared" ca="1" si="21"/>
        <v>0</v>
      </c>
      <c r="AG50" s="395">
        <f t="shared" ca="1" si="22"/>
        <v>0</v>
      </c>
      <c r="AH50" s="395">
        <f t="shared" ca="1" si="23"/>
        <v>0</v>
      </c>
      <c r="AI50" s="395">
        <f t="shared" ca="1" si="24"/>
        <v>0</v>
      </c>
      <c r="AJ50" s="395">
        <f t="shared" ca="1" si="25"/>
        <v>0</v>
      </c>
      <c r="AK50" s="395">
        <f t="shared" ca="1" si="26"/>
        <v>0</v>
      </c>
      <c r="AL50" s="395">
        <f t="shared" ca="1" si="27"/>
        <v>0</v>
      </c>
      <c r="AM50" s="395">
        <f t="shared" ca="1" si="28"/>
        <v>0</v>
      </c>
      <c r="AN50" s="395">
        <f t="shared" ca="1" si="29"/>
        <v>52911</v>
      </c>
      <c r="AO50" s="395">
        <f t="shared" ca="1" si="30"/>
        <v>0</v>
      </c>
      <c r="AP50" s="395">
        <f t="shared" ca="1" si="31"/>
        <v>0</v>
      </c>
      <c r="AQ50" s="395">
        <f t="shared" ca="1" si="32"/>
        <v>0</v>
      </c>
      <c r="AR50" s="395">
        <f t="shared" ca="1" si="33"/>
        <v>0</v>
      </c>
      <c r="AS50" s="395">
        <f t="shared" ca="1" si="34"/>
        <v>0</v>
      </c>
      <c r="AT50" s="395">
        <f t="shared" ca="1" si="35"/>
        <v>0</v>
      </c>
      <c r="AU50" s="395">
        <f t="shared" ca="1" si="36"/>
        <v>0</v>
      </c>
      <c r="AV50" s="395">
        <f t="shared" ca="1" si="37"/>
        <v>0</v>
      </c>
      <c r="AW50" s="395">
        <f t="shared" ca="1" si="38"/>
        <v>0</v>
      </c>
    </row>
    <row r="51" spans="1:49" s="392" customFormat="1" ht="12.75" customHeight="1">
      <c r="A51" s="63">
        <f t="array" aca="1" ref="A51" ca="1">IF(C51&lt;&gt;0,SUM(($C$11:C51&lt;&gt;0)*1),"")</f>
        <v>41</v>
      </c>
      <c r="B51" s="393">
        <f ca="1">IF(ROWS($1:41)&gt;COUNT(Dong6),"",OFFSET(TH!C$1,SMALL(Dong6,ROWS($1:41)),))</f>
        <v>41718</v>
      </c>
      <c r="C51" s="393" t="str">
        <f ca="1">IF(ROWS($1:41)&gt;COUNT(Dong6),"",OFFSET(TH!D$1,SMALL(Dong6,ROWS($1:41)),))</f>
        <v>GBN</v>
      </c>
      <c r="D51" s="393">
        <f ca="1">IF(ROWS($1:41)&gt;COUNT(Dong6),"",OFFSET(TH!E$1,SMALL(Dong6,ROWS($1:41)),))</f>
        <v>41718</v>
      </c>
      <c r="E51" s="443" t="str">
        <f ca="1">IF(ROWS($1:41)&gt;COUNT(Dong6),"",OFFSET(TH!F$1,SMALL(Dong6,ROWS($1:41)),))</f>
        <v xml:space="preserve">VAT Phí chuyển tiền </v>
      </c>
      <c r="F51" s="444">
        <f ca="1">IF(ROWS($1:41)&gt;COUNT(Dong6),"",OFFSET(TH!I$1,SMALL(Dong6,ROWS($1:41)),))</f>
        <v>5291</v>
      </c>
      <c r="G51" s="445" t="str">
        <f ca="1">IF(ROWS($1:41)&gt;COUNT(Dong6),"",OFFSET(TH!J$1,SMALL(Dong6,ROWS($1:41)),))</f>
        <v>1331</v>
      </c>
      <c r="H51" s="445" t="str">
        <f ca="1">IF(ROWS($1:41)&gt;COUNT(Dong6),"",OFFSET(TH!K$1,SMALL(Dong6,ROWS($1:41)),))</f>
        <v>1121</v>
      </c>
      <c r="I51" s="63">
        <f t="shared" ca="1" si="41"/>
        <v>41</v>
      </c>
      <c r="J51" s="395">
        <f t="shared" ca="1" si="1"/>
        <v>0</v>
      </c>
      <c r="K51" s="395">
        <f t="shared" ca="1" si="2"/>
        <v>0</v>
      </c>
      <c r="L51" s="395">
        <f t="shared" ca="1" si="3"/>
        <v>0</v>
      </c>
      <c r="M51" s="395">
        <f t="shared" ca="1" si="4"/>
        <v>5291</v>
      </c>
      <c r="N51" s="395">
        <f t="shared" ca="1" si="5"/>
        <v>5291</v>
      </c>
      <c r="O51" s="395">
        <f t="shared" ca="1" si="6"/>
        <v>0</v>
      </c>
      <c r="P51" s="395">
        <f t="shared" ca="1" si="7"/>
        <v>0</v>
      </c>
      <c r="Q51" s="395">
        <f t="shared" ca="1" si="8"/>
        <v>0</v>
      </c>
      <c r="R51" s="395">
        <f t="shared" ca="1" si="39"/>
        <v>0</v>
      </c>
      <c r="S51" s="395">
        <f t="shared" ca="1" si="40"/>
        <v>0</v>
      </c>
      <c r="T51" s="395">
        <f t="shared" ca="1" si="9"/>
        <v>0</v>
      </c>
      <c r="U51" s="395">
        <f t="shared" ca="1" si="10"/>
        <v>0</v>
      </c>
      <c r="V51" s="395">
        <f t="shared" ca="1" si="11"/>
        <v>0</v>
      </c>
      <c r="W51" s="395">
        <f t="shared" ca="1" si="12"/>
        <v>0</v>
      </c>
      <c r="X51" s="395">
        <f t="shared" ca="1" si="13"/>
        <v>0</v>
      </c>
      <c r="Y51" s="395">
        <f t="shared" ca="1" si="14"/>
        <v>0</v>
      </c>
      <c r="Z51" s="395">
        <f t="shared" ca="1" si="15"/>
        <v>0</v>
      </c>
      <c r="AA51" s="395">
        <f t="shared" ca="1" si="16"/>
        <v>0</v>
      </c>
      <c r="AB51" s="395">
        <f t="shared" ca="1" si="17"/>
        <v>0</v>
      </c>
      <c r="AC51" s="395">
        <f t="shared" ca="1" si="18"/>
        <v>0</v>
      </c>
      <c r="AD51" s="395">
        <f t="shared" ca="1" si="19"/>
        <v>0</v>
      </c>
      <c r="AE51" s="395">
        <f t="shared" ca="1" si="20"/>
        <v>0</v>
      </c>
      <c r="AF51" s="395">
        <f t="shared" ca="1" si="21"/>
        <v>0</v>
      </c>
      <c r="AG51" s="395">
        <f t="shared" ca="1" si="22"/>
        <v>0</v>
      </c>
      <c r="AH51" s="395">
        <f t="shared" ca="1" si="23"/>
        <v>0</v>
      </c>
      <c r="AI51" s="395">
        <f t="shared" ca="1" si="24"/>
        <v>0</v>
      </c>
      <c r="AJ51" s="395">
        <f t="shared" ca="1" si="25"/>
        <v>0</v>
      </c>
      <c r="AK51" s="395">
        <f t="shared" ca="1" si="26"/>
        <v>0</v>
      </c>
      <c r="AL51" s="395">
        <f t="shared" ca="1" si="27"/>
        <v>0</v>
      </c>
      <c r="AM51" s="395">
        <f t="shared" ca="1" si="28"/>
        <v>0</v>
      </c>
      <c r="AN51" s="395">
        <f t="shared" ca="1" si="29"/>
        <v>0</v>
      </c>
      <c r="AO51" s="395">
        <f t="shared" ca="1" si="30"/>
        <v>0</v>
      </c>
      <c r="AP51" s="395">
        <f t="shared" ca="1" si="31"/>
        <v>0</v>
      </c>
      <c r="AQ51" s="395">
        <f t="shared" ca="1" si="32"/>
        <v>0</v>
      </c>
      <c r="AR51" s="395">
        <f t="shared" ca="1" si="33"/>
        <v>0</v>
      </c>
      <c r="AS51" s="395">
        <f t="shared" ca="1" si="34"/>
        <v>0</v>
      </c>
      <c r="AT51" s="395">
        <f t="shared" ca="1" si="35"/>
        <v>0</v>
      </c>
      <c r="AU51" s="395">
        <f t="shared" ca="1" si="36"/>
        <v>0</v>
      </c>
      <c r="AV51" s="395">
        <f t="shared" ca="1" si="37"/>
        <v>0</v>
      </c>
      <c r="AW51" s="395">
        <f t="shared" ca="1" si="38"/>
        <v>0</v>
      </c>
    </row>
    <row r="52" spans="1:49" s="392" customFormat="1" ht="12.75" customHeight="1">
      <c r="A52" s="63">
        <f t="array" aca="1" ref="A52" ca="1">IF(C52&lt;&gt;0,SUM(($C$11:C52&lt;&gt;0)*1),"")</f>
        <v>42</v>
      </c>
      <c r="B52" s="393">
        <f ca="1">IF(ROWS($1:42)&gt;COUNT(Dong6),"",OFFSET(TH!C$1,SMALL(Dong6,ROWS($1:42)),))</f>
        <v>41722</v>
      </c>
      <c r="C52" s="393" t="str">
        <f ca="1">IF(ROWS($1:42)&gt;COUNT(Dong6),"",OFFSET(TH!D$1,SMALL(Dong6,ROWS($1:42)),))</f>
        <v>C07</v>
      </c>
      <c r="D52" s="393">
        <f ca="1">IF(ROWS($1:42)&gt;COUNT(Dong6),"",OFFSET(TH!E$1,SMALL(Dong6,ROWS($1:42)),))</f>
        <v>41722</v>
      </c>
      <c r="E52" s="443" t="str">
        <f ca="1">IF(ROWS($1:42)&gt;COUNT(Dong6),"",OFFSET(TH!F$1,SMALL(Dong6,ROWS($1:42)),))</f>
        <v>Nộp tiền mặt vào tài khoản ngân hàng</v>
      </c>
      <c r="F52" s="444">
        <f ca="1">IF(ROWS($1:42)&gt;COUNT(Dong6),"",OFFSET(TH!I$1,SMALL(Dong6,ROWS($1:42)),))</f>
        <v>30000000</v>
      </c>
      <c r="G52" s="445" t="str">
        <f ca="1">IF(ROWS($1:42)&gt;COUNT(Dong6),"",OFFSET(TH!J$1,SMALL(Dong6,ROWS($1:42)),))</f>
        <v>1121</v>
      </c>
      <c r="H52" s="445" t="str">
        <f ca="1">IF(ROWS($1:42)&gt;COUNT(Dong6),"",OFFSET(TH!K$1,SMALL(Dong6,ROWS($1:42)),))</f>
        <v>1111</v>
      </c>
      <c r="I52" s="63">
        <f t="shared" ca="1" si="41"/>
        <v>42</v>
      </c>
      <c r="J52" s="395">
        <f t="shared" ca="1" si="1"/>
        <v>0</v>
      </c>
      <c r="K52" s="395">
        <f t="shared" ca="1" si="2"/>
        <v>30000000</v>
      </c>
      <c r="L52" s="395">
        <f t="shared" ca="1" si="3"/>
        <v>30000000</v>
      </c>
      <c r="M52" s="395">
        <f t="shared" ca="1" si="4"/>
        <v>0</v>
      </c>
      <c r="N52" s="395">
        <f t="shared" ca="1" si="5"/>
        <v>0</v>
      </c>
      <c r="O52" s="395">
        <f t="shared" ca="1" si="6"/>
        <v>0</v>
      </c>
      <c r="P52" s="395">
        <f t="shared" ca="1" si="7"/>
        <v>0</v>
      </c>
      <c r="Q52" s="395">
        <f t="shared" ca="1" si="8"/>
        <v>0</v>
      </c>
      <c r="R52" s="395">
        <f t="shared" ca="1" si="39"/>
        <v>0</v>
      </c>
      <c r="S52" s="395">
        <f t="shared" ca="1" si="40"/>
        <v>0</v>
      </c>
      <c r="T52" s="395">
        <f t="shared" ca="1" si="9"/>
        <v>0</v>
      </c>
      <c r="U52" s="395">
        <f t="shared" ca="1" si="10"/>
        <v>0</v>
      </c>
      <c r="V52" s="395">
        <f t="shared" ca="1" si="11"/>
        <v>0</v>
      </c>
      <c r="W52" s="395">
        <f t="shared" ca="1" si="12"/>
        <v>0</v>
      </c>
      <c r="X52" s="395">
        <f t="shared" ca="1" si="13"/>
        <v>0</v>
      </c>
      <c r="Y52" s="395">
        <f t="shared" ca="1" si="14"/>
        <v>0</v>
      </c>
      <c r="Z52" s="395">
        <f t="shared" ca="1" si="15"/>
        <v>0</v>
      </c>
      <c r="AA52" s="395">
        <f t="shared" ca="1" si="16"/>
        <v>0</v>
      </c>
      <c r="AB52" s="395">
        <f t="shared" ca="1" si="17"/>
        <v>0</v>
      </c>
      <c r="AC52" s="395">
        <f t="shared" ca="1" si="18"/>
        <v>0</v>
      </c>
      <c r="AD52" s="395">
        <f t="shared" ca="1" si="19"/>
        <v>0</v>
      </c>
      <c r="AE52" s="395">
        <f t="shared" ca="1" si="20"/>
        <v>0</v>
      </c>
      <c r="AF52" s="395">
        <f t="shared" ca="1" si="21"/>
        <v>0</v>
      </c>
      <c r="AG52" s="395">
        <f t="shared" ca="1" si="22"/>
        <v>0</v>
      </c>
      <c r="AH52" s="395">
        <f t="shared" ca="1" si="23"/>
        <v>0</v>
      </c>
      <c r="AI52" s="395">
        <f t="shared" ca="1" si="24"/>
        <v>0</v>
      </c>
      <c r="AJ52" s="395">
        <f t="shared" ca="1" si="25"/>
        <v>0</v>
      </c>
      <c r="AK52" s="395">
        <f t="shared" ca="1" si="26"/>
        <v>0</v>
      </c>
      <c r="AL52" s="395">
        <f t="shared" ca="1" si="27"/>
        <v>0</v>
      </c>
      <c r="AM52" s="395">
        <f t="shared" ca="1" si="28"/>
        <v>0</v>
      </c>
      <c r="AN52" s="395">
        <f t="shared" ca="1" si="29"/>
        <v>0</v>
      </c>
      <c r="AO52" s="395">
        <f t="shared" ca="1" si="30"/>
        <v>0</v>
      </c>
      <c r="AP52" s="395">
        <f t="shared" ca="1" si="31"/>
        <v>0</v>
      </c>
      <c r="AQ52" s="395">
        <f t="shared" ca="1" si="32"/>
        <v>0</v>
      </c>
      <c r="AR52" s="395">
        <f t="shared" ca="1" si="33"/>
        <v>0</v>
      </c>
      <c r="AS52" s="395">
        <f t="shared" ca="1" si="34"/>
        <v>0</v>
      </c>
      <c r="AT52" s="395">
        <f t="shared" ca="1" si="35"/>
        <v>0</v>
      </c>
      <c r="AU52" s="395">
        <f t="shared" ca="1" si="36"/>
        <v>0</v>
      </c>
      <c r="AV52" s="395">
        <f t="shared" ca="1" si="37"/>
        <v>0</v>
      </c>
      <c r="AW52" s="395">
        <f t="shared" ca="1" si="38"/>
        <v>0</v>
      </c>
    </row>
    <row r="53" spans="1:49" s="392" customFormat="1" ht="12.75" customHeight="1">
      <c r="A53" s="63">
        <f t="array" aca="1" ref="A53" ca="1">IF(C53&lt;&gt;0,SUM(($C$11:C53&lt;&gt;0)*1),"")</f>
        <v>43</v>
      </c>
      <c r="B53" s="393">
        <f ca="1">IF(ROWS($1:43)&gt;COUNT(Dong6),"",OFFSET(TH!C$1,SMALL(Dong6,ROWS($1:43)),))</f>
        <v>41723</v>
      </c>
      <c r="C53" s="393" t="str">
        <f ca="1">IF(ROWS($1:43)&gt;COUNT(Dong6),"",OFFSET(TH!D$1,SMALL(Dong6,ROWS($1:43)),))</f>
        <v>GBN</v>
      </c>
      <c r="D53" s="393">
        <f ca="1">IF(ROWS($1:43)&gt;COUNT(Dong6),"",OFFSET(TH!E$1,SMALL(Dong6,ROWS($1:43)),))</f>
        <v>41723</v>
      </c>
      <c r="E53" s="443" t="str">
        <f ca="1">IF(ROWS($1:43)&gt;COUNT(Dong6),"",OFFSET(TH!F$1,SMALL(Dong6,ROWS($1:43)),))</f>
        <v>Ứng tiển thiết kế - Kiến Trúc XD Bách Việt</v>
      </c>
      <c r="F53" s="444">
        <f ca="1">IF(ROWS($1:43)&gt;COUNT(Dong6),"",OFFSET(TH!I$1,SMALL(Dong6,ROWS($1:43)),))</f>
        <v>30000000</v>
      </c>
      <c r="G53" s="445" t="str">
        <f ca="1">IF(ROWS($1:43)&gt;COUNT(Dong6),"",OFFSET(TH!J$1,SMALL(Dong6,ROWS($1:43)),))</f>
        <v>331</v>
      </c>
      <c r="H53" s="445" t="str">
        <f ca="1">IF(ROWS($1:43)&gt;COUNT(Dong6),"",OFFSET(TH!K$1,SMALL(Dong6,ROWS($1:43)),))</f>
        <v>1121</v>
      </c>
      <c r="I53" s="63">
        <f t="shared" ca="1" si="41"/>
        <v>43</v>
      </c>
      <c r="J53" s="395">
        <f t="shared" ca="1" si="1"/>
        <v>0</v>
      </c>
      <c r="K53" s="395">
        <f t="shared" ca="1" si="2"/>
        <v>0</v>
      </c>
      <c r="L53" s="395">
        <f t="shared" ca="1" si="3"/>
        <v>0</v>
      </c>
      <c r="M53" s="395">
        <f t="shared" ca="1" si="4"/>
        <v>30000000</v>
      </c>
      <c r="N53" s="395">
        <f t="shared" ca="1" si="5"/>
        <v>0</v>
      </c>
      <c r="O53" s="395">
        <f t="shared" ca="1" si="6"/>
        <v>0</v>
      </c>
      <c r="P53" s="395">
        <f t="shared" ca="1" si="7"/>
        <v>0</v>
      </c>
      <c r="Q53" s="395">
        <f t="shared" ca="1" si="8"/>
        <v>0</v>
      </c>
      <c r="R53" s="395">
        <f t="shared" ca="1" si="39"/>
        <v>0</v>
      </c>
      <c r="S53" s="395">
        <f t="shared" ca="1" si="40"/>
        <v>0</v>
      </c>
      <c r="T53" s="395">
        <f t="shared" ca="1" si="9"/>
        <v>30000000</v>
      </c>
      <c r="U53" s="395">
        <f t="shared" ca="1" si="10"/>
        <v>0</v>
      </c>
      <c r="V53" s="395">
        <f t="shared" ca="1" si="11"/>
        <v>0</v>
      </c>
      <c r="W53" s="395">
        <f t="shared" ca="1" si="12"/>
        <v>0</v>
      </c>
      <c r="X53" s="395">
        <f t="shared" ca="1" si="13"/>
        <v>0</v>
      </c>
      <c r="Y53" s="395">
        <f t="shared" ca="1" si="14"/>
        <v>0</v>
      </c>
      <c r="Z53" s="395">
        <f t="shared" ca="1" si="15"/>
        <v>0</v>
      </c>
      <c r="AA53" s="395">
        <f t="shared" ca="1" si="16"/>
        <v>0</v>
      </c>
      <c r="AB53" s="395">
        <f t="shared" ca="1" si="17"/>
        <v>0</v>
      </c>
      <c r="AC53" s="395">
        <f t="shared" ca="1" si="18"/>
        <v>0</v>
      </c>
      <c r="AD53" s="395">
        <f t="shared" ca="1" si="19"/>
        <v>0</v>
      </c>
      <c r="AE53" s="395">
        <f t="shared" ca="1" si="20"/>
        <v>0</v>
      </c>
      <c r="AF53" s="395">
        <f t="shared" ca="1" si="21"/>
        <v>0</v>
      </c>
      <c r="AG53" s="395">
        <f t="shared" ca="1" si="22"/>
        <v>0</v>
      </c>
      <c r="AH53" s="395">
        <f t="shared" ca="1" si="23"/>
        <v>0</v>
      </c>
      <c r="AI53" s="395">
        <f t="shared" ca="1" si="24"/>
        <v>0</v>
      </c>
      <c r="AJ53" s="395">
        <f t="shared" ca="1" si="25"/>
        <v>0</v>
      </c>
      <c r="AK53" s="395">
        <f t="shared" ca="1" si="26"/>
        <v>0</v>
      </c>
      <c r="AL53" s="395">
        <f t="shared" ca="1" si="27"/>
        <v>0</v>
      </c>
      <c r="AM53" s="395">
        <f t="shared" ca="1" si="28"/>
        <v>0</v>
      </c>
      <c r="AN53" s="395">
        <f t="shared" ca="1" si="29"/>
        <v>0</v>
      </c>
      <c r="AO53" s="395">
        <f t="shared" ca="1" si="30"/>
        <v>0</v>
      </c>
      <c r="AP53" s="395">
        <f t="shared" ca="1" si="31"/>
        <v>0</v>
      </c>
      <c r="AQ53" s="395">
        <f t="shared" ca="1" si="32"/>
        <v>0</v>
      </c>
      <c r="AR53" s="395">
        <f t="shared" ca="1" si="33"/>
        <v>0</v>
      </c>
      <c r="AS53" s="395">
        <f t="shared" ca="1" si="34"/>
        <v>0</v>
      </c>
      <c r="AT53" s="395">
        <f t="shared" ca="1" si="35"/>
        <v>0</v>
      </c>
      <c r="AU53" s="395">
        <f t="shared" ca="1" si="36"/>
        <v>0</v>
      </c>
      <c r="AV53" s="395">
        <f t="shared" ca="1" si="37"/>
        <v>0</v>
      </c>
      <c r="AW53" s="395">
        <f t="shared" ca="1" si="38"/>
        <v>0</v>
      </c>
    </row>
    <row r="54" spans="1:49" s="392" customFormat="1" ht="12.75" customHeight="1">
      <c r="A54" s="63">
        <f t="array" aca="1" ref="A54" ca="1">IF(C54&lt;&gt;0,SUM(($C$11:C54&lt;&gt;0)*1),"")</f>
        <v>44</v>
      </c>
      <c r="B54" s="393">
        <f ca="1">IF(ROWS($1:44)&gt;COUNT(Dong6),"",OFFSET(TH!C$1,SMALL(Dong6,ROWS($1:44)),))</f>
        <v>41723</v>
      </c>
      <c r="C54" s="393" t="str">
        <f ca="1">IF(ROWS($1:44)&gt;COUNT(Dong6),"",OFFSET(TH!D$1,SMALL(Dong6,ROWS($1:44)),))</f>
        <v>GBN</v>
      </c>
      <c r="D54" s="393">
        <f ca="1">IF(ROWS($1:44)&gt;COUNT(Dong6),"",OFFSET(TH!E$1,SMALL(Dong6,ROWS($1:44)),))</f>
        <v>41723</v>
      </c>
      <c r="E54" s="443" t="str">
        <f ca="1">IF(ROWS($1:44)&gt;COUNT(Dong6),"",OFFSET(TH!F$1,SMALL(Dong6,ROWS($1:44)),))</f>
        <v xml:space="preserve">Phí chuyển tiền </v>
      </c>
      <c r="F54" s="444">
        <f ca="1">IF(ROWS($1:44)&gt;COUNT(Dong6),"",OFFSET(TH!I$1,SMALL(Dong6,ROWS($1:44)),))</f>
        <v>20000</v>
      </c>
      <c r="G54" s="445" t="str">
        <f ca="1">IF(ROWS($1:44)&gt;COUNT(Dong6),"",OFFSET(TH!J$1,SMALL(Dong6,ROWS($1:44)),))</f>
        <v>642</v>
      </c>
      <c r="H54" s="445" t="str">
        <f ca="1">IF(ROWS($1:44)&gt;COUNT(Dong6),"",OFFSET(TH!K$1,SMALL(Dong6,ROWS($1:44)),))</f>
        <v>1121</v>
      </c>
      <c r="I54" s="63">
        <f t="shared" ca="1" si="41"/>
        <v>44</v>
      </c>
      <c r="J54" s="395">
        <f t="shared" ca="1" si="1"/>
        <v>0</v>
      </c>
      <c r="K54" s="395">
        <f t="shared" ca="1" si="2"/>
        <v>0</v>
      </c>
      <c r="L54" s="395">
        <f t="shared" ca="1" si="3"/>
        <v>0</v>
      </c>
      <c r="M54" s="395">
        <f t="shared" ca="1" si="4"/>
        <v>20000</v>
      </c>
      <c r="N54" s="395">
        <f t="shared" ca="1" si="5"/>
        <v>0</v>
      </c>
      <c r="O54" s="395">
        <f t="shared" ca="1" si="6"/>
        <v>0</v>
      </c>
      <c r="P54" s="395">
        <f t="shared" ca="1" si="7"/>
        <v>0</v>
      </c>
      <c r="Q54" s="395">
        <f t="shared" ca="1" si="8"/>
        <v>0</v>
      </c>
      <c r="R54" s="395">
        <f t="shared" ca="1" si="39"/>
        <v>0</v>
      </c>
      <c r="S54" s="395">
        <f t="shared" ca="1" si="40"/>
        <v>0</v>
      </c>
      <c r="T54" s="395">
        <f t="shared" ca="1" si="9"/>
        <v>0</v>
      </c>
      <c r="U54" s="395">
        <f t="shared" ca="1" si="10"/>
        <v>0</v>
      </c>
      <c r="V54" s="395">
        <f t="shared" ca="1" si="11"/>
        <v>0</v>
      </c>
      <c r="W54" s="395">
        <f t="shared" ca="1" si="12"/>
        <v>0</v>
      </c>
      <c r="X54" s="395">
        <f t="shared" ca="1" si="13"/>
        <v>0</v>
      </c>
      <c r="Y54" s="395">
        <f t="shared" ca="1" si="14"/>
        <v>0</v>
      </c>
      <c r="Z54" s="395">
        <f t="shared" ca="1" si="15"/>
        <v>0</v>
      </c>
      <c r="AA54" s="395">
        <f t="shared" ca="1" si="16"/>
        <v>0</v>
      </c>
      <c r="AB54" s="395">
        <f t="shared" ca="1" si="17"/>
        <v>0</v>
      </c>
      <c r="AC54" s="395">
        <f t="shared" ca="1" si="18"/>
        <v>0</v>
      </c>
      <c r="AD54" s="395">
        <f t="shared" ca="1" si="19"/>
        <v>0</v>
      </c>
      <c r="AE54" s="395">
        <f t="shared" ca="1" si="20"/>
        <v>0</v>
      </c>
      <c r="AF54" s="395">
        <f t="shared" ca="1" si="21"/>
        <v>0</v>
      </c>
      <c r="AG54" s="395">
        <f t="shared" ca="1" si="22"/>
        <v>0</v>
      </c>
      <c r="AH54" s="395">
        <f t="shared" ca="1" si="23"/>
        <v>0</v>
      </c>
      <c r="AI54" s="395">
        <f t="shared" ca="1" si="24"/>
        <v>0</v>
      </c>
      <c r="AJ54" s="395">
        <f t="shared" ca="1" si="25"/>
        <v>0</v>
      </c>
      <c r="AK54" s="395">
        <f t="shared" ca="1" si="26"/>
        <v>0</v>
      </c>
      <c r="AL54" s="395">
        <f t="shared" ca="1" si="27"/>
        <v>0</v>
      </c>
      <c r="AM54" s="395">
        <f t="shared" ca="1" si="28"/>
        <v>0</v>
      </c>
      <c r="AN54" s="395">
        <f t="shared" ca="1" si="29"/>
        <v>20000</v>
      </c>
      <c r="AO54" s="395">
        <f t="shared" ca="1" si="30"/>
        <v>0</v>
      </c>
      <c r="AP54" s="395">
        <f t="shared" ca="1" si="31"/>
        <v>0</v>
      </c>
      <c r="AQ54" s="395">
        <f t="shared" ca="1" si="32"/>
        <v>0</v>
      </c>
      <c r="AR54" s="395">
        <f t="shared" ca="1" si="33"/>
        <v>0</v>
      </c>
      <c r="AS54" s="395">
        <f t="shared" ca="1" si="34"/>
        <v>0</v>
      </c>
      <c r="AT54" s="395">
        <f t="shared" ca="1" si="35"/>
        <v>0</v>
      </c>
      <c r="AU54" s="395">
        <f t="shared" ca="1" si="36"/>
        <v>0</v>
      </c>
      <c r="AV54" s="395">
        <f t="shared" ca="1" si="37"/>
        <v>0</v>
      </c>
      <c r="AW54" s="395">
        <f t="shared" ca="1" si="38"/>
        <v>0</v>
      </c>
    </row>
    <row r="55" spans="1:49" s="392" customFormat="1" ht="12.75" customHeight="1">
      <c r="A55" s="63">
        <f t="array" aca="1" ref="A55" ca="1">IF(C55&lt;&gt;0,SUM(($C$11:C55&lt;&gt;0)*1),"")</f>
        <v>45</v>
      </c>
      <c r="B55" s="393">
        <f ca="1">IF(ROWS($1:45)&gt;COUNT(Dong6),"",OFFSET(TH!C$1,SMALL(Dong6,ROWS($1:45)),))</f>
        <v>41723</v>
      </c>
      <c r="C55" s="393" t="str">
        <f ca="1">IF(ROWS($1:45)&gt;COUNT(Dong6),"",OFFSET(TH!D$1,SMALL(Dong6,ROWS($1:45)),))</f>
        <v>GBN</v>
      </c>
      <c r="D55" s="393">
        <f ca="1">IF(ROWS($1:45)&gt;COUNT(Dong6),"",OFFSET(TH!E$1,SMALL(Dong6,ROWS($1:45)),))</f>
        <v>41723</v>
      </c>
      <c r="E55" s="443" t="str">
        <f ca="1">IF(ROWS($1:45)&gt;COUNT(Dong6),"",OFFSET(TH!F$1,SMALL(Dong6,ROWS($1:45)),))</f>
        <v xml:space="preserve">VAT Phí chuyển tiền </v>
      </c>
      <c r="F55" s="444">
        <f ca="1">IF(ROWS($1:45)&gt;COUNT(Dong6),"",OFFSET(TH!I$1,SMALL(Dong6,ROWS($1:45)),))</f>
        <v>2000</v>
      </c>
      <c r="G55" s="445" t="str">
        <f ca="1">IF(ROWS($1:45)&gt;COUNT(Dong6),"",OFFSET(TH!J$1,SMALL(Dong6,ROWS($1:45)),))</f>
        <v>1331</v>
      </c>
      <c r="H55" s="445" t="str">
        <f ca="1">IF(ROWS($1:45)&gt;COUNT(Dong6),"",OFFSET(TH!K$1,SMALL(Dong6,ROWS($1:45)),))</f>
        <v>1121</v>
      </c>
      <c r="I55" s="63">
        <f t="shared" ca="1" si="41"/>
        <v>45</v>
      </c>
      <c r="J55" s="395">
        <f t="shared" ca="1" si="1"/>
        <v>0</v>
      </c>
      <c r="K55" s="395">
        <f t="shared" ca="1" si="2"/>
        <v>0</v>
      </c>
      <c r="L55" s="395">
        <f t="shared" ca="1" si="3"/>
        <v>0</v>
      </c>
      <c r="M55" s="395">
        <f t="shared" ca="1" si="4"/>
        <v>2000</v>
      </c>
      <c r="N55" s="395">
        <f t="shared" ca="1" si="5"/>
        <v>2000</v>
      </c>
      <c r="O55" s="395">
        <f t="shared" ca="1" si="6"/>
        <v>0</v>
      </c>
      <c r="P55" s="395">
        <f t="shared" ca="1" si="7"/>
        <v>0</v>
      </c>
      <c r="Q55" s="395">
        <f t="shared" ca="1" si="8"/>
        <v>0</v>
      </c>
      <c r="R55" s="395">
        <f t="shared" ca="1" si="39"/>
        <v>0</v>
      </c>
      <c r="S55" s="395">
        <f t="shared" ca="1" si="40"/>
        <v>0</v>
      </c>
      <c r="T55" s="395">
        <f t="shared" ca="1" si="9"/>
        <v>0</v>
      </c>
      <c r="U55" s="395">
        <f t="shared" ca="1" si="10"/>
        <v>0</v>
      </c>
      <c r="V55" s="395">
        <f t="shared" ca="1" si="11"/>
        <v>0</v>
      </c>
      <c r="W55" s="395">
        <f t="shared" ca="1" si="12"/>
        <v>0</v>
      </c>
      <c r="X55" s="395">
        <f t="shared" ca="1" si="13"/>
        <v>0</v>
      </c>
      <c r="Y55" s="395">
        <f t="shared" ca="1" si="14"/>
        <v>0</v>
      </c>
      <c r="Z55" s="395">
        <f t="shared" ca="1" si="15"/>
        <v>0</v>
      </c>
      <c r="AA55" s="395">
        <f t="shared" ca="1" si="16"/>
        <v>0</v>
      </c>
      <c r="AB55" s="395">
        <f t="shared" ca="1" si="17"/>
        <v>0</v>
      </c>
      <c r="AC55" s="395">
        <f t="shared" ca="1" si="18"/>
        <v>0</v>
      </c>
      <c r="AD55" s="395">
        <f t="shared" ca="1" si="19"/>
        <v>0</v>
      </c>
      <c r="AE55" s="395">
        <f t="shared" ca="1" si="20"/>
        <v>0</v>
      </c>
      <c r="AF55" s="395">
        <f t="shared" ca="1" si="21"/>
        <v>0</v>
      </c>
      <c r="AG55" s="395">
        <f t="shared" ca="1" si="22"/>
        <v>0</v>
      </c>
      <c r="AH55" s="395">
        <f t="shared" ca="1" si="23"/>
        <v>0</v>
      </c>
      <c r="AI55" s="395">
        <f t="shared" ca="1" si="24"/>
        <v>0</v>
      </c>
      <c r="AJ55" s="395">
        <f t="shared" ca="1" si="25"/>
        <v>0</v>
      </c>
      <c r="AK55" s="395">
        <f t="shared" ca="1" si="26"/>
        <v>0</v>
      </c>
      <c r="AL55" s="395">
        <f t="shared" ca="1" si="27"/>
        <v>0</v>
      </c>
      <c r="AM55" s="395">
        <f t="shared" ca="1" si="28"/>
        <v>0</v>
      </c>
      <c r="AN55" s="395">
        <f t="shared" ca="1" si="29"/>
        <v>0</v>
      </c>
      <c r="AO55" s="395">
        <f t="shared" ca="1" si="30"/>
        <v>0</v>
      </c>
      <c r="AP55" s="395">
        <f t="shared" ca="1" si="31"/>
        <v>0</v>
      </c>
      <c r="AQ55" s="395">
        <f t="shared" ca="1" si="32"/>
        <v>0</v>
      </c>
      <c r="AR55" s="395">
        <f t="shared" ca="1" si="33"/>
        <v>0</v>
      </c>
      <c r="AS55" s="395">
        <f t="shared" ca="1" si="34"/>
        <v>0</v>
      </c>
      <c r="AT55" s="395">
        <f t="shared" ca="1" si="35"/>
        <v>0</v>
      </c>
      <c r="AU55" s="395">
        <f t="shared" ca="1" si="36"/>
        <v>0</v>
      </c>
      <c r="AV55" s="395">
        <f t="shared" ca="1" si="37"/>
        <v>0</v>
      </c>
      <c r="AW55" s="395">
        <f t="shared" ca="1" si="38"/>
        <v>0</v>
      </c>
    </row>
    <row r="56" spans="1:49" s="392" customFormat="1" ht="12.75" customHeight="1">
      <c r="A56" s="63">
        <f t="array" aca="1" ref="A56" ca="1">IF(C56&lt;&gt;0,SUM(($C$11:C56&lt;&gt;0)*1),"")</f>
        <v>46</v>
      </c>
      <c r="B56" s="393">
        <v>41729</v>
      </c>
      <c r="C56" s="396" t="s">
        <v>154</v>
      </c>
      <c r="D56" s="396">
        <f>B56</f>
        <v>41729</v>
      </c>
      <c r="E56" s="397" t="s">
        <v>290</v>
      </c>
      <c r="F56" s="89">
        <f>AH10</f>
        <v>2041200</v>
      </c>
      <c r="G56" s="398" t="s">
        <v>131</v>
      </c>
      <c r="H56" s="398" t="s">
        <v>133</v>
      </c>
      <c r="I56" s="63">
        <f ca="1">A56</f>
        <v>46</v>
      </c>
      <c r="J56" s="395">
        <f t="shared" si="1"/>
        <v>0</v>
      </c>
      <c r="K56" s="395">
        <f t="shared" si="2"/>
        <v>0</v>
      </c>
      <c r="L56" s="395">
        <f t="shared" si="3"/>
        <v>0</v>
      </c>
      <c r="M56" s="395">
        <f t="shared" si="4"/>
        <v>0</v>
      </c>
      <c r="N56" s="395">
        <f t="shared" si="5"/>
        <v>0</v>
      </c>
      <c r="O56" s="395">
        <f t="shared" si="6"/>
        <v>0</v>
      </c>
      <c r="P56" s="395">
        <f t="shared" si="7"/>
        <v>0</v>
      </c>
      <c r="Q56" s="395">
        <f t="shared" si="8"/>
        <v>0</v>
      </c>
      <c r="R56" s="395">
        <f t="shared" si="39"/>
        <v>0</v>
      </c>
      <c r="S56" s="395">
        <f t="shared" si="40"/>
        <v>0</v>
      </c>
      <c r="T56" s="395">
        <f t="shared" si="9"/>
        <v>0</v>
      </c>
      <c r="U56" s="395">
        <f t="shared" si="10"/>
        <v>0</v>
      </c>
      <c r="V56" s="395">
        <f t="shared" si="11"/>
        <v>0</v>
      </c>
      <c r="W56" s="395">
        <f t="shared" si="12"/>
        <v>0</v>
      </c>
      <c r="X56" s="395">
        <f t="shared" si="13"/>
        <v>0</v>
      </c>
      <c r="Y56" s="395">
        <f t="shared" si="14"/>
        <v>0</v>
      </c>
      <c r="Z56" s="395">
        <f t="shared" si="15"/>
        <v>0</v>
      </c>
      <c r="AA56" s="395">
        <f t="shared" si="16"/>
        <v>0</v>
      </c>
      <c r="AB56" s="395">
        <f t="shared" si="17"/>
        <v>0</v>
      </c>
      <c r="AC56" s="395">
        <f t="shared" si="18"/>
        <v>0</v>
      </c>
      <c r="AD56" s="395">
        <f t="shared" si="19"/>
        <v>0</v>
      </c>
      <c r="AE56" s="395">
        <f t="shared" si="20"/>
        <v>0</v>
      </c>
      <c r="AF56" s="395">
        <f t="shared" si="21"/>
        <v>2041200</v>
      </c>
      <c r="AG56" s="395">
        <f t="shared" si="22"/>
        <v>0</v>
      </c>
      <c r="AH56" s="395">
        <f t="shared" si="23"/>
        <v>0</v>
      </c>
      <c r="AI56" s="395">
        <f t="shared" si="24"/>
        <v>2041200</v>
      </c>
      <c r="AJ56" s="395">
        <f t="shared" si="25"/>
        <v>0</v>
      </c>
      <c r="AK56" s="395">
        <f t="shared" si="26"/>
        <v>0</v>
      </c>
      <c r="AL56" s="395">
        <f t="shared" si="27"/>
        <v>0</v>
      </c>
      <c r="AM56" s="395">
        <f t="shared" si="28"/>
        <v>0</v>
      </c>
      <c r="AN56" s="395">
        <f t="shared" si="29"/>
        <v>0</v>
      </c>
      <c r="AO56" s="395">
        <f t="shared" si="30"/>
        <v>0</v>
      </c>
      <c r="AP56" s="395">
        <f t="shared" si="31"/>
        <v>0</v>
      </c>
      <c r="AQ56" s="395">
        <f t="shared" si="32"/>
        <v>0</v>
      </c>
      <c r="AR56" s="395">
        <f t="shared" si="33"/>
        <v>0</v>
      </c>
      <c r="AS56" s="395">
        <f t="shared" si="34"/>
        <v>0</v>
      </c>
      <c r="AT56" s="395">
        <f t="shared" si="35"/>
        <v>0</v>
      </c>
      <c r="AU56" s="395">
        <f t="shared" si="36"/>
        <v>0</v>
      </c>
      <c r="AV56" s="395">
        <f t="shared" si="37"/>
        <v>0</v>
      </c>
      <c r="AW56" s="395">
        <f t="shared" si="38"/>
        <v>0</v>
      </c>
    </row>
    <row r="57" spans="1:49" s="392" customFormat="1" ht="12.75" customHeight="1">
      <c r="A57" s="63">
        <f t="array" aca="1" ref="A57" ca="1">IF(C57&lt;&gt;0,SUM(($C$11:C57&lt;&gt;0)*1),"")</f>
        <v>47</v>
      </c>
      <c r="B57" s="393">
        <v>41729</v>
      </c>
      <c r="C57" s="396" t="s">
        <v>154</v>
      </c>
      <c r="D57" s="396">
        <f t="shared" ref="D57:D60" si="42">B57</f>
        <v>41729</v>
      </c>
      <c r="E57" s="397" t="s">
        <v>155</v>
      </c>
      <c r="F57" s="89">
        <f ca="1">AL64</f>
        <v>0</v>
      </c>
      <c r="G57" s="398" t="s">
        <v>214</v>
      </c>
      <c r="H57" s="398" t="s">
        <v>138</v>
      </c>
      <c r="I57" s="63">
        <f t="shared" ref="I57:I63" ca="1" si="43">A57</f>
        <v>47</v>
      </c>
      <c r="J57" s="395">
        <f t="shared" si="1"/>
        <v>0</v>
      </c>
      <c r="K57" s="395">
        <f t="shared" si="2"/>
        <v>0</v>
      </c>
      <c r="L57" s="395">
        <f t="shared" si="3"/>
        <v>0</v>
      </c>
      <c r="M57" s="395">
        <f t="shared" si="4"/>
        <v>0</v>
      </c>
      <c r="N57" s="395">
        <f t="shared" si="5"/>
        <v>0</v>
      </c>
      <c r="O57" s="395">
        <f t="shared" si="6"/>
        <v>0</v>
      </c>
      <c r="P57" s="395">
        <f t="shared" si="7"/>
        <v>0</v>
      </c>
      <c r="Q57" s="395">
        <f t="shared" si="8"/>
        <v>0</v>
      </c>
      <c r="R57" s="395">
        <f t="shared" ca="1" si="39"/>
        <v>0</v>
      </c>
      <c r="S57" s="395">
        <f t="shared" si="40"/>
        <v>0</v>
      </c>
      <c r="T57" s="395">
        <f t="shared" si="9"/>
        <v>0</v>
      </c>
      <c r="U57" s="395">
        <f t="shared" si="10"/>
        <v>0</v>
      </c>
      <c r="V57" s="395">
        <f t="shared" si="11"/>
        <v>0</v>
      </c>
      <c r="W57" s="395">
        <f t="shared" si="12"/>
        <v>0</v>
      </c>
      <c r="X57" s="395">
        <f t="shared" si="13"/>
        <v>0</v>
      </c>
      <c r="Y57" s="395">
        <f t="shared" si="14"/>
        <v>0</v>
      </c>
      <c r="Z57" s="395">
        <f t="shared" si="15"/>
        <v>0</v>
      </c>
      <c r="AA57" s="395">
        <f t="shared" si="16"/>
        <v>0</v>
      </c>
      <c r="AB57" s="395">
        <f t="shared" si="17"/>
        <v>0</v>
      </c>
      <c r="AC57" s="395">
        <f t="shared" si="18"/>
        <v>0</v>
      </c>
      <c r="AD57" s="395">
        <f t="shared" si="19"/>
        <v>0</v>
      </c>
      <c r="AE57" s="395">
        <f t="shared" si="20"/>
        <v>0</v>
      </c>
      <c r="AF57" s="395">
        <f t="shared" si="21"/>
        <v>0</v>
      </c>
      <c r="AG57" s="395">
        <f t="shared" si="22"/>
        <v>0</v>
      </c>
      <c r="AH57" s="395">
        <f t="shared" si="23"/>
        <v>0</v>
      </c>
      <c r="AI57" s="395">
        <f t="shared" si="24"/>
        <v>0</v>
      </c>
      <c r="AJ57" s="395">
        <f t="shared" si="25"/>
        <v>0</v>
      </c>
      <c r="AK57" s="395">
        <f t="shared" si="26"/>
        <v>0</v>
      </c>
      <c r="AL57" s="395">
        <f t="shared" si="27"/>
        <v>0</v>
      </c>
      <c r="AM57" s="395">
        <f t="shared" ca="1" si="28"/>
        <v>0</v>
      </c>
      <c r="AN57" s="395">
        <f t="shared" si="29"/>
        <v>0</v>
      </c>
      <c r="AO57" s="395">
        <f t="shared" si="30"/>
        <v>0</v>
      </c>
      <c r="AP57" s="395">
        <f t="shared" si="31"/>
        <v>0</v>
      </c>
      <c r="AQ57" s="395">
        <f t="shared" si="32"/>
        <v>0</v>
      </c>
      <c r="AR57" s="395">
        <f t="shared" si="33"/>
        <v>0</v>
      </c>
      <c r="AS57" s="395">
        <f t="shared" si="34"/>
        <v>0</v>
      </c>
      <c r="AT57" s="395">
        <f t="shared" si="35"/>
        <v>0</v>
      </c>
      <c r="AU57" s="395">
        <f t="shared" si="36"/>
        <v>0</v>
      </c>
      <c r="AV57" s="395">
        <f t="shared" si="37"/>
        <v>0</v>
      </c>
      <c r="AW57" s="395">
        <f t="shared" si="38"/>
        <v>0</v>
      </c>
    </row>
    <row r="58" spans="1:49" s="392" customFormat="1" ht="12.75" customHeight="1">
      <c r="A58" s="63">
        <f t="array" aca="1" ref="A58" ca="1">IF(C58&lt;&gt;0,SUM(($C$11:C58&lt;&gt;0)*1),"")</f>
        <v>48</v>
      </c>
      <c r="B58" s="393">
        <v>41729</v>
      </c>
      <c r="C58" s="396" t="s">
        <v>154</v>
      </c>
      <c r="D58" s="396">
        <f t="shared" si="42"/>
        <v>41729</v>
      </c>
      <c r="E58" s="397" t="s">
        <v>156</v>
      </c>
      <c r="F58" s="89">
        <f ca="1">AN64</f>
        <v>29121910</v>
      </c>
      <c r="G58" s="398" t="s">
        <v>148</v>
      </c>
      <c r="H58" s="398" t="s">
        <v>140</v>
      </c>
      <c r="I58" s="63">
        <f t="shared" ca="1" si="43"/>
        <v>48</v>
      </c>
      <c r="J58" s="395">
        <f t="shared" si="1"/>
        <v>0</v>
      </c>
      <c r="K58" s="395">
        <f t="shared" si="2"/>
        <v>0</v>
      </c>
      <c r="L58" s="395">
        <f t="shared" si="3"/>
        <v>0</v>
      </c>
      <c r="M58" s="395">
        <f t="shared" si="4"/>
        <v>0</v>
      </c>
      <c r="N58" s="395">
        <f t="shared" si="5"/>
        <v>0</v>
      </c>
      <c r="O58" s="395">
        <f t="shared" si="6"/>
        <v>0</v>
      </c>
      <c r="P58" s="395">
        <f t="shared" si="7"/>
        <v>0</v>
      </c>
      <c r="Q58" s="395">
        <f t="shared" si="8"/>
        <v>0</v>
      </c>
      <c r="R58" s="395">
        <f t="shared" si="39"/>
        <v>0</v>
      </c>
      <c r="S58" s="395">
        <f t="shared" si="40"/>
        <v>0</v>
      </c>
      <c r="T58" s="395">
        <f t="shared" si="9"/>
        <v>0</v>
      </c>
      <c r="U58" s="395">
        <f t="shared" si="10"/>
        <v>0</v>
      </c>
      <c r="V58" s="395">
        <f t="shared" si="11"/>
        <v>0</v>
      </c>
      <c r="W58" s="395">
        <f t="shared" si="12"/>
        <v>0</v>
      </c>
      <c r="X58" s="395">
        <f t="shared" si="13"/>
        <v>0</v>
      </c>
      <c r="Y58" s="395">
        <f t="shared" si="14"/>
        <v>0</v>
      </c>
      <c r="Z58" s="395">
        <f t="shared" si="15"/>
        <v>0</v>
      </c>
      <c r="AA58" s="395">
        <f t="shared" si="16"/>
        <v>0</v>
      </c>
      <c r="AB58" s="395">
        <f t="shared" si="17"/>
        <v>0</v>
      </c>
      <c r="AC58" s="395">
        <f t="shared" si="18"/>
        <v>0</v>
      </c>
      <c r="AD58" s="395">
        <f t="shared" si="19"/>
        <v>0</v>
      </c>
      <c r="AE58" s="395">
        <f t="shared" si="20"/>
        <v>0</v>
      </c>
      <c r="AF58" s="395">
        <f t="shared" si="21"/>
        <v>0</v>
      </c>
      <c r="AG58" s="395">
        <f t="shared" si="22"/>
        <v>0</v>
      </c>
      <c r="AH58" s="395">
        <f t="shared" si="23"/>
        <v>0</v>
      </c>
      <c r="AI58" s="395">
        <f t="shared" si="24"/>
        <v>0</v>
      </c>
      <c r="AJ58" s="395">
        <f t="shared" si="25"/>
        <v>0</v>
      </c>
      <c r="AK58" s="395">
        <f t="shared" si="26"/>
        <v>0</v>
      </c>
      <c r="AL58" s="395">
        <f t="shared" si="27"/>
        <v>0</v>
      </c>
      <c r="AM58" s="395">
        <f t="shared" si="28"/>
        <v>0</v>
      </c>
      <c r="AN58" s="395">
        <f t="shared" si="29"/>
        <v>0</v>
      </c>
      <c r="AO58" s="395">
        <f t="shared" ca="1" si="30"/>
        <v>29121910</v>
      </c>
      <c r="AP58" s="395">
        <f t="shared" si="31"/>
        <v>0</v>
      </c>
      <c r="AQ58" s="395">
        <f t="shared" si="32"/>
        <v>0</v>
      </c>
      <c r="AR58" s="395">
        <f t="shared" si="33"/>
        <v>0</v>
      </c>
      <c r="AS58" s="395">
        <f t="shared" si="34"/>
        <v>0</v>
      </c>
      <c r="AT58" s="395">
        <f t="shared" si="35"/>
        <v>0</v>
      </c>
      <c r="AU58" s="395">
        <f t="shared" si="36"/>
        <v>0</v>
      </c>
      <c r="AV58" s="395">
        <f t="shared" ca="1" si="37"/>
        <v>29121910</v>
      </c>
      <c r="AW58" s="395">
        <f t="shared" si="38"/>
        <v>0</v>
      </c>
    </row>
    <row r="59" spans="1:49" s="392" customFormat="1" ht="12.75" customHeight="1">
      <c r="A59" s="63">
        <f t="array" aca="1" ref="A59" ca="1">IF(C59&lt;&gt;0,SUM(($C$11:C59&lt;&gt;0)*1),"")</f>
        <v>49</v>
      </c>
      <c r="B59" s="393">
        <v>41729</v>
      </c>
      <c r="C59" s="396" t="s">
        <v>154</v>
      </c>
      <c r="D59" s="396">
        <f t="shared" si="42"/>
        <v>41729</v>
      </c>
      <c r="E59" s="397" t="s">
        <v>291</v>
      </c>
      <c r="F59" s="89">
        <f ca="1">AV64</f>
        <v>29121910</v>
      </c>
      <c r="G59" s="398" t="s">
        <v>133</v>
      </c>
      <c r="H59" s="398" t="s">
        <v>148</v>
      </c>
      <c r="I59" s="63">
        <f t="shared" ca="1" si="43"/>
        <v>49</v>
      </c>
      <c r="J59" s="395">
        <f t="shared" si="1"/>
        <v>0</v>
      </c>
      <c r="K59" s="395">
        <f t="shared" si="2"/>
        <v>0</v>
      </c>
      <c r="L59" s="395">
        <f t="shared" si="3"/>
        <v>0</v>
      </c>
      <c r="M59" s="395">
        <f t="shared" si="4"/>
        <v>0</v>
      </c>
      <c r="N59" s="395">
        <f t="shared" si="5"/>
        <v>0</v>
      </c>
      <c r="O59" s="395">
        <f t="shared" si="6"/>
        <v>0</v>
      </c>
      <c r="P59" s="395">
        <f t="shared" si="7"/>
        <v>0</v>
      </c>
      <c r="Q59" s="395">
        <f t="shared" si="8"/>
        <v>0</v>
      </c>
      <c r="R59" s="395">
        <f t="shared" si="39"/>
        <v>0</v>
      </c>
      <c r="S59" s="395">
        <f t="shared" si="40"/>
        <v>0</v>
      </c>
      <c r="T59" s="395">
        <f t="shared" si="9"/>
        <v>0</v>
      </c>
      <c r="U59" s="395">
        <f t="shared" si="10"/>
        <v>0</v>
      </c>
      <c r="V59" s="395">
        <f t="shared" si="11"/>
        <v>0</v>
      </c>
      <c r="W59" s="395">
        <f t="shared" si="12"/>
        <v>0</v>
      </c>
      <c r="X59" s="395">
        <f t="shared" si="13"/>
        <v>0</v>
      </c>
      <c r="Y59" s="395">
        <f t="shared" si="14"/>
        <v>0</v>
      </c>
      <c r="Z59" s="395">
        <f t="shared" si="15"/>
        <v>0</v>
      </c>
      <c r="AA59" s="395">
        <f t="shared" si="16"/>
        <v>0</v>
      </c>
      <c r="AB59" s="395">
        <f t="shared" si="17"/>
        <v>0</v>
      </c>
      <c r="AC59" s="395">
        <f t="shared" si="18"/>
        <v>0</v>
      </c>
      <c r="AD59" s="395">
        <f t="shared" si="19"/>
        <v>0</v>
      </c>
      <c r="AE59" s="395">
        <f t="shared" si="20"/>
        <v>0</v>
      </c>
      <c r="AF59" s="395">
        <f t="shared" si="21"/>
        <v>0</v>
      </c>
      <c r="AG59" s="395">
        <f t="shared" si="22"/>
        <v>0</v>
      </c>
      <c r="AH59" s="395">
        <f t="shared" ca="1" si="23"/>
        <v>29121910</v>
      </c>
      <c r="AI59" s="395">
        <f t="shared" si="24"/>
        <v>0</v>
      </c>
      <c r="AJ59" s="395">
        <f t="shared" si="25"/>
        <v>0</v>
      </c>
      <c r="AK59" s="395">
        <f t="shared" si="26"/>
        <v>0</v>
      </c>
      <c r="AL59" s="395">
        <f t="shared" si="27"/>
        <v>0</v>
      </c>
      <c r="AM59" s="395">
        <f t="shared" si="28"/>
        <v>0</v>
      </c>
      <c r="AN59" s="395">
        <f t="shared" si="29"/>
        <v>0</v>
      </c>
      <c r="AO59" s="395">
        <f t="shared" si="30"/>
        <v>0</v>
      </c>
      <c r="AP59" s="395">
        <f t="shared" si="31"/>
        <v>0</v>
      </c>
      <c r="AQ59" s="395">
        <f t="shared" si="32"/>
        <v>0</v>
      </c>
      <c r="AR59" s="395">
        <f t="shared" si="33"/>
        <v>0</v>
      </c>
      <c r="AS59" s="395">
        <f t="shared" si="34"/>
        <v>0</v>
      </c>
      <c r="AT59" s="395">
        <f t="shared" si="35"/>
        <v>0</v>
      </c>
      <c r="AU59" s="395">
        <f t="shared" si="36"/>
        <v>0</v>
      </c>
      <c r="AV59" s="395">
        <f t="shared" si="37"/>
        <v>0</v>
      </c>
      <c r="AW59" s="395">
        <f t="shared" ca="1" si="38"/>
        <v>29121910</v>
      </c>
    </row>
    <row r="60" spans="1:49" s="392" customFormat="1" ht="12.75" customHeight="1">
      <c r="A60" s="63">
        <f t="array" aca="1" ref="A60" ca="1">IF(C60&lt;&gt;0,SUM(($C$11:C60&lt;&gt;0)*1),"")</f>
        <v>50</v>
      </c>
      <c r="B60" s="393">
        <v>41729</v>
      </c>
      <c r="C60" s="396" t="s">
        <v>154</v>
      </c>
      <c r="D60" s="396">
        <f t="shared" si="42"/>
        <v>41729</v>
      </c>
      <c r="E60" s="397" t="s">
        <v>158</v>
      </c>
      <c r="F60" s="89">
        <f ca="1">AK64</f>
        <v>0</v>
      </c>
      <c r="G60" s="398" t="s">
        <v>67</v>
      </c>
      <c r="H60" s="398" t="s">
        <v>148</v>
      </c>
      <c r="I60" s="63">
        <f t="shared" ca="1" si="43"/>
        <v>50</v>
      </c>
      <c r="J60" s="395">
        <f t="shared" si="1"/>
        <v>0</v>
      </c>
      <c r="K60" s="395">
        <f t="shared" si="2"/>
        <v>0</v>
      </c>
      <c r="L60" s="395">
        <f t="shared" si="3"/>
        <v>0</v>
      </c>
      <c r="M60" s="395">
        <f t="shared" si="4"/>
        <v>0</v>
      </c>
      <c r="N60" s="395">
        <f t="shared" si="5"/>
        <v>0</v>
      </c>
      <c r="O60" s="395">
        <f t="shared" si="6"/>
        <v>0</v>
      </c>
      <c r="P60" s="395">
        <f t="shared" si="7"/>
        <v>0</v>
      </c>
      <c r="Q60" s="395">
        <f t="shared" si="8"/>
        <v>0</v>
      </c>
      <c r="R60" s="395">
        <f t="shared" si="39"/>
        <v>0</v>
      </c>
      <c r="S60" s="395">
        <f t="shared" si="40"/>
        <v>0</v>
      </c>
      <c r="T60" s="395">
        <f t="shared" si="9"/>
        <v>0</v>
      </c>
      <c r="U60" s="395">
        <f t="shared" si="10"/>
        <v>0</v>
      </c>
      <c r="V60" s="395">
        <f t="shared" si="11"/>
        <v>0</v>
      </c>
      <c r="W60" s="395">
        <f t="shared" si="12"/>
        <v>0</v>
      </c>
      <c r="X60" s="395">
        <f t="shared" si="13"/>
        <v>0</v>
      </c>
      <c r="Y60" s="395">
        <f t="shared" si="14"/>
        <v>0</v>
      </c>
      <c r="Z60" s="395">
        <f t="shared" si="15"/>
        <v>0</v>
      </c>
      <c r="AA60" s="395">
        <f t="shared" si="16"/>
        <v>0</v>
      </c>
      <c r="AB60" s="395">
        <f t="shared" si="17"/>
        <v>0</v>
      </c>
      <c r="AC60" s="395">
        <f t="shared" si="18"/>
        <v>0</v>
      </c>
      <c r="AD60" s="395">
        <f t="shared" si="19"/>
        <v>0</v>
      </c>
      <c r="AE60" s="395">
        <f t="shared" si="20"/>
        <v>0</v>
      </c>
      <c r="AF60" s="395">
        <f t="shared" si="21"/>
        <v>0</v>
      </c>
      <c r="AG60" s="395">
        <f t="shared" si="22"/>
        <v>0</v>
      </c>
      <c r="AH60" s="395">
        <f t="shared" si="23"/>
        <v>0</v>
      </c>
      <c r="AI60" s="395">
        <f t="shared" si="24"/>
        <v>0</v>
      </c>
      <c r="AJ60" s="395">
        <f t="shared" ca="1" si="25"/>
        <v>0</v>
      </c>
      <c r="AK60" s="395">
        <f t="shared" si="26"/>
        <v>0</v>
      </c>
      <c r="AL60" s="395">
        <f t="shared" si="27"/>
        <v>0</v>
      </c>
      <c r="AM60" s="395">
        <f t="shared" si="28"/>
        <v>0</v>
      </c>
      <c r="AN60" s="395">
        <f t="shared" si="29"/>
        <v>0</v>
      </c>
      <c r="AO60" s="395">
        <f t="shared" si="30"/>
        <v>0</v>
      </c>
      <c r="AP60" s="395">
        <f t="shared" si="31"/>
        <v>0</v>
      </c>
      <c r="AQ60" s="395">
        <f t="shared" si="32"/>
        <v>0</v>
      </c>
      <c r="AR60" s="395">
        <f t="shared" si="33"/>
        <v>0</v>
      </c>
      <c r="AS60" s="395">
        <f t="shared" si="34"/>
        <v>0</v>
      </c>
      <c r="AT60" s="395">
        <f t="shared" si="35"/>
        <v>0</v>
      </c>
      <c r="AU60" s="395">
        <f t="shared" si="36"/>
        <v>0</v>
      </c>
      <c r="AV60" s="395">
        <f t="shared" si="37"/>
        <v>0</v>
      </c>
      <c r="AW60" s="395">
        <f t="shared" ca="1" si="38"/>
        <v>0</v>
      </c>
    </row>
    <row r="61" spans="1:49" s="392" customFormat="1" ht="12.75" customHeight="1">
      <c r="A61" s="63">
        <f t="array" aca="1" ref="A61" ca="1">IF(C61&lt;&gt;0,SUM(($C$11:C61&lt;&gt;0)*1),"")</f>
        <v>51</v>
      </c>
      <c r="B61" s="393">
        <v>41729</v>
      </c>
      <c r="C61" s="396" t="s">
        <v>154</v>
      </c>
      <c r="D61" s="396">
        <f>B61</f>
        <v>41729</v>
      </c>
      <c r="E61" s="397" t="s">
        <v>159</v>
      </c>
      <c r="F61" s="89">
        <f ca="1">AQ64</f>
        <v>0</v>
      </c>
      <c r="G61" s="398" t="s">
        <v>142</v>
      </c>
      <c r="H61" s="398" t="s">
        <v>148</v>
      </c>
      <c r="I61" s="63">
        <f t="shared" ca="1" si="43"/>
        <v>51</v>
      </c>
      <c r="J61" s="395">
        <f t="shared" si="1"/>
        <v>0</v>
      </c>
      <c r="K61" s="395">
        <f t="shared" si="2"/>
        <v>0</v>
      </c>
      <c r="L61" s="395">
        <f t="shared" si="3"/>
        <v>0</v>
      </c>
      <c r="M61" s="395">
        <f t="shared" si="4"/>
        <v>0</v>
      </c>
      <c r="N61" s="395">
        <f t="shared" si="5"/>
        <v>0</v>
      </c>
      <c r="O61" s="395">
        <f t="shared" si="6"/>
        <v>0</v>
      </c>
      <c r="P61" s="395">
        <f t="shared" si="7"/>
        <v>0</v>
      </c>
      <c r="Q61" s="395">
        <f t="shared" si="8"/>
        <v>0</v>
      </c>
      <c r="R61" s="395">
        <f t="shared" si="39"/>
        <v>0</v>
      </c>
      <c r="S61" s="395">
        <f t="shared" si="40"/>
        <v>0</v>
      </c>
      <c r="T61" s="395">
        <f t="shared" si="9"/>
        <v>0</v>
      </c>
      <c r="U61" s="395">
        <f t="shared" si="10"/>
        <v>0</v>
      </c>
      <c r="V61" s="395">
        <f t="shared" si="11"/>
        <v>0</v>
      </c>
      <c r="W61" s="395">
        <f t="shared" si="12"/>
        <v>0</v>
      </c>
      <c r="X61" s="395">
        <f t="shared" si="13"/>
        <v>0</v>
      </c>
      <c r="Y61" s="395">
        <f t="shared" si="14"/>
        <v>0</v>
      </c>
      <c r="Z61" s="395">
        <f t="shared" si="15"/>
        <v>0</v>
      </c>
      <c r="AA61" s="395">
        <f t="shared" si="16"/>
        <v>0</v>
      </c>
      <c r="AB61" s="395">
        <f t="shared" si="17"/>
        <v>0</v>
      </c>
      <c r="AC61" s="395">
        <f t="shared" si="18"/>
        <v>0</v>
      </c>
      <c r="AD61" s="395">
        <f t="shared" si="19"/>
        <v>0</v>
      </c>
      <c r="AE61" s="395">
        <f t="shared" si="20"/>
        <v>0</v>
      </c>
      <c r="AF61" s="395">
        <f t="shared" si="21"/>
        <v>0</v>
      </c>
      <c r="AG61" s="395">
        <f t="shared" si="22"/>
        <v>0</v>
      </c>
      <c r="AH61" s="395">
        <f t="shared" si="23"/>
        <v>0</v>
      </c>
      <c r="AI61" s="395">
        <f t="shared" si="24"/>
        <v>0</v>
      </c>
      <c r="AJ61" s="395">
        <f t="shared" si="25"/>
        <v>0</v>
      </c>
      <c r="AK61" s="395">
        <f t="shared" si="26"/>
        <v>0</v>
      </c>
      <c r="AL61" s="395">
        <f t="shared" si="27"/>
        <v>0</v>
      </c>
      <c r="AM61" s="395">
        <f t="shared" si="28"/>
        <v>0</v>
      </c>
      <c r="AN61" s="395">
        <f t="shared" si="29"/>
        <v>0</v>
      </c>
      <c r="AO61" s="395">
        <f t="shared" si="30"/>
        <v>0</v>
      </c>
      <c r="AP61" s="395">
        <f t="shared" ca="1" si="31"/>
        <v>0</v>
      </c>
      <c r="AQ61" s="395">
        <f t="shared" si="32"/>
        <v>0</v>
      </c>
      <c r="AR61" s="395">
        <f t="shared" si="33"/>
        <v>0</v>
      </c>
      <c r="AS61" s="395">
        <f t="shared" si="34"/>
        <v>0</v>
      </c>
      <c r="AT61" s="395">
        <f t="shared" si="35"/>
        <v>0</v>
      </c>
      <c r="AU61" s="395">
        <f t="shared" si="36"/>
        <v>0</v>
      </c>
      <c r="AV61" s="395">
        <f t="shared" si="37"/>
        <v>0</v>
      </c>
      <c r="AW61" s="395">
        <f t="shared" ca="1" si="38"/>
        <v>0</v>
      </c>
    </row>
    <row r="62" spans="1:49" s="392" customFormat="1" ht="12.75" customHeight="1">
      <c r="A62" s="63">
        <f t="array" aca="1" ref="A62" ca="1">IF(C62&lt;&gt;0,SUM(($C$11:C62&lt;&gt;0)*1),"")</f>
        <v>52</v>
      </c>
      <c r="B62" s="393">
        <v>41729</v>
      </c>
      <c r="C62" s="396" t="s">
        <v>154</v>
      </c>
      <c r="D62" s="396">
        <f>B62</f>
        <v>41729</v>
      </c>
      <c r="E62" s="397" t="s">
        <v>160</v>
      </c>
      <c r="F62" s="89">
        <f ca="1">AR64</f>
        <v>0</v>
      </c>
      <c r="G62" s="398" t="s">
        <v>148</v>
      </c>
      <c r="H62" s="398" t="s">
        <v>144</v>
      </c>
      <c r="I62" s="63">
        <f t="shared" ca="1" si="43"/>
        <v>52</v>
      </c>
      <c r="J62" s="395">
        <f t="shared" si="1"/>
        <v>0</v>
      </c>
      <c r="K62" s="395">
        <f t="shared" si="2"/>
        <v>0</v>
      </c>
      <c r="L62" s="395">
        <f t="shared" si="3"/>
        <v>0</v>
      </c>
      <c r="M62" s="395">
        <f t="shared" si="4"/>
        <v>0</v>
      </c>
      <c r="N62" s="395">
        <f t="shared" si="5"/>
        <v>0</v>
      </c>
      <c r="O62" s="395">
        <f t="shared" si="6"/>
        <v>0</v>
      </c>
      <c r="P62" s="395">
        <f t="shared" si="7"/>
        <v>0</v>
      </c>
      <c r="Q62" s="395">
        <f t="shared" si="8"/>
        <v>0</v>
      </c>
      <c r="R62" s="395">
        <f t="shared" si="39"/>
        <v>0</v>
      </c>
      <c r="S62" s="395">
        <f t="shared" si="40"/>
        <v>0</v>
      </c>
      <c r="T62" s="395">
        <f t="shared" si="9"/>
        <v>0</v>
      </c>
      <c r="U62" s="395">
        <f t="shared" si="10"/>
        <v>0</v>
      </c>
      <c r="V62" s="395">
        <f t="shared" si="11"/>
        <v>0</v>
      </c>
      <c r="W62" s="395">
        <f t="shared" si="12"/>
        <v>0</v>
      </c>
      <c r="X62" s="395">
        <f t="shared" si="13"/>
        <v>0</v>
      </c>
      <c r="Y62" s="395">
        <f t="shared" si="14"/>
        <v>0</v>
      </c>
      <c r="Z62" s="395">
        <f t="shared" si="15"/>
        <v>0</v>
      </c>
      <c r="AA62" s="395">
        <f t="shared" si="16"/>
        <v>0</v>
      </c>
      <c r="AB62" s="395">
        <f t="shared" si="17"/>
        <v>0</v>
      </c>
      <c r="AC62" s="395">
        <f t="shared" si="18"/>
        <v>0</v>
      </c>
      <c r="AD62" s="395">
        <f t="shared" si="19"/>
        <v>0</v>
      </c>
      <c r="AE62" s="395">
        <f t="shared" si="20"/>
        <v>0</v>
      </c>
      <c r="AF62" s="395">
        <f t="shared" si="21"/>
        <v>0</v>
      </c>
      <c r="AG62" s="395">
        <f t="shared" si="22"/>
        <v>0</v>
      </c>
      <c r="AH62" s="395">
        <f t="shared" si="23"/>
        <v>0</v>
      </c>
      <c r="AI62" s="395">
        <f t="shared" si="24"/>
        <v>0</v>
      </c>
      <c r="AJ62" s="395">
        <f t="shared" si="25"/>
        <v>0</v>
      </c>
      <c r="AK62" s="395">
        <f t="shared" si="26"/>
        <v>0</v>
      </c>
      <c r="AL62" s="395">
        <f t="shared" si="27"/>
        <v>0</v>
      </c>
      <c r="AM62" s="395">
        <f t="shared" si="28"/>
        <v>0</v>
      </c>
      <c r="AN62" s="395">
        <f t="shared" si="29"/>
        <v>0</v>
      </c>
      <c r="AO62" s="395">
        <f t="shared" si="30"/>
        <v>0</v>
      </c>
      <c r="AP62" s="395">
        <f t="shared" si="31"/>
        <v>0</v>
      </c>
      <c r="AQ62" s="395">
        <f t="shared" si="32"/>
        <v>0</v>
      </c>
      <c r="AR62" s="395">
        <f t="shared" si="33"/>
        <v>0</v>
      </c>
      <c r="AS62" s="395">
        <f t="shared" ca="1" si="34"/>
        <v>0</v>
      </c>
      <c r="AT62" s="395">
        <f t="shared" si="35"/>
        <v>0</v>
      </c>
      <c r="AU62" s="395">
        <f t="shared" si="36"/>
        <v>0</v>
      </c>
      <c r="AV62" s="395">
        <f t="shared" ca="1" si="37"/>
        <v>0</v>
      </c>
      <c r="AW62" s="395">
        <f t="shared" si="38"/>
        <v>0</v>
      </c>
    </row>
    <row r="63" spans="1:49" s="392" customFormat="1" ht="12.75" customHeight="1">
      <c r="A63" s="63" t="str">
        <f t="array" ref="A63">IF(C63&lt;&gt;0,SUM(($C$11:C63&lt;&gt;0)*1),"")</f>
        <v/>
      </c>
      <c r="B63" s="291"/>
      <c r="C63" s="399"/>
      <c r="D63" s="291"/>
      <c r="E63" s="394"/>
      <c r="F63" s="65"/>
      <c r="G63" s="400"/>
      <c r="H63" s="400"/>
      <c r="I63" s="63" t="str">
        <f t="shared" si="43"/>
        <v/>
      </c>
      <c r="J63" s="395">
        <f t="shared" si="1"/>
        <v>0</v>
      </c>
      <c r="K63" s="395">
        <f t="shared" si="2"/>
        <v>0</v>
      </c>
      <c r="L63" s="395">
        <f t="shared" si="3"/>
        <v>0</v>
      </c>
      <c r="M63" s="395">
        <f t="shared" si="4"/>
        <v>0</v>
      </c>
      <c r="N63" s="395">
        <f t="shared" si="5"/>
        <v>0</v>
      </c>
      <c r="O63" s="395">
        <f t="shared" si="6"/>
        <v>0</v>
      </c>
      <c r="P63" s="395">
        <f t="shared" si="7"/>
        <v>0</v>
      </c>
      <c r="Q63" s="395">
        <f t="shared" si="8"/>
        <v>0</v>
      </c>
      <c r="R63" s="395">
        <f t="shared" si="39"/>
        <v>0</v>
      </c>
      <c r="S63" s="395">
        <f t="shared" si="40"/>
        <v>0</v>
      </c>
      <c r="T63" s="395">
        <f t="shared" si="9"/>
        <v>0</v>
      </c>
      <c r="U63" s="395">
        <f t="shared" si="10"/>
        <v>0</v>
      </c>
      <c r="V63" s="395">
        <f t="shared" si="11"/>
        <v>0</v>
      </c>
      <c r="W63" s="395">
        <f t="shared" si="12"/>
        <v>0</v>
      </c>
      <c r="X63" s="395">
        <f t="shared" si="13"/>
        <v>0</v>
      </c>
      <c r="Y63" s="395">
        <f t="shared" si="14"/>
        <v>0</v>
      </c>
      <c r="Z63" s="395">
        <f t="shared" si="15"/>
        <v>0</v>
      </c>
      <c r="AA63" s="395">
        <f t="shared" si="16"/>
        <v>0</v>
      </c>
      <c r="AB63" s="395">
        <f t="shared" si="17"/>
        <v>0</v>
      </c>
      <c r="AC63" s="395">
        <f t="shared" si="18"/>
        <v>0</v>
      </c>
      <c r="AD63" s="395">
        <f t="shared" si="19"/>
        <v>0</v>
      </c>
      <c r="AE63" s="395">
        <f t="shared" si="20"/>
        <v>0</v>
      </c>
      <c r="AF63" s="395">
        <f t="shared" si="21"/>
        <v>0</v>
      </c>
      <c r="AG63" s="395">
        <f t="shared" si="22"/>
        <v>0</v>
      </c>
      <c r="AH63" s="395">
        <f t="shared" si="23"/>
        <v>0</v>
      </c>
      <c r="AI63" s="395">
        <f t="shared" si="24"/>
        <v>0</v>
      </c>
      <c r="AJ63" s="395">
        <f t="shared" si="25"/>
        <v>0</v>
      </c>
      <c r="AK63" s="395">
        <f t="shared" si="26"/>
        <v>0</v>
      </c>
      <c r="AL63" s="395">
        <f t="shared" si="27"/>
        <v>0</v>
      </c>
      <c r="AM63" s="395">
        <f t="shared" si="28"/>
        <v>0</v>
      </c>
      <c r="AN63" s="395">
        <f t="shared" si="29"/>
        <v>0</v>
      </c>
      <c r="AO63" s="395">
        <f t="shared" si="30"/>
        <v>0</v>
      </c>
      <c r="AP63" s="395">
        <f t="shared" si="31"/>
        <v>0</v>
      </c>
      <c r="AQ63" s="395">
        <f t="shared" si="32"/>
        <v>0</v>
      </c>
      <c r="AR63" s="395">
        <f t="shared" si="33"/>
        <v>0</v>
      </c>
      <c r="AS63" s="395">
        <f t="shared" si="34"/>
        <v>0</v>
      </c>
      <c r="AT63" s="395">
        <f t="shared" si="35"/>
        <v>0</v>
      </c>
      <c r="AU63" s="395">
        <f t="shared" si="36"/>
        <v>0</v>
      </c>
      <c r="AV63" s="395">
        <f t="shared" si="37"/>
        <v>0</v>
      </c>
      <c r="AW63" s="395">
        <f t="shared" si="38"/>
        <v>0</v>
      </c>
    </row>
    <row r="64" spans="1:49" s="392" customFormat="1" ht="12.75" customHeight="1">
      <c r="A64" s="63" t="str">
        <f t="array" ref="A64">IF(C64&lt;&gt;0,SUM(($C$11:C64&lt;&gt;0)*1),"")</f>
        <v/>
      </c>
      <c r="B64" s="401"/>
      <c r="C64" s="401"/>
      <c r="D64" s="401"/>
      <c r="E64" s="394" t="s">
        <v>241</v>
      </c>
      <c r="F64" s="401"/>
      <c r="G64" s="400"/>
      <c r="H64" s="400"/>
      <c r="I64" s="401"/>
      <c r="J64" s="395">
        <f t="shared" ref="J64:AW64" ca="1" si="44">SUM(J11:J63)</f>
        <v>0</v>
      </c>
      <c r="K64" s="395">
        <f t="shared" ca="1" si="44"/>
        <v>742200000</v>
      </c>
      <c r="L64" s="395">
        <f t="shared" ca="1" si="44"/>
        <v>742200000</v>
      </c>
      <c r="M64" s="395">
        <f t="shared" ca="1" si="44"/>
        <v>362817500</v>
      </c>
      <c r="N64" s="395">
        <f t="shared" ca="1" si="44"/>
        <v>2762190</v>
      </c>
      <c r="O64" s="395">
        <f t="shared" ca="1" si="44"/>
        <v>0</v>
      </c>
      <c r="P64" s="395">
        <f t="shared" ca="1" si="44"/>
        <v>0</v>
      </c>
      <c r="Q64" s="395">
        <f t="shared" ca="1" si="44"/>
        <v>0</v>
      </c>
      <c r="R64" s="395">
        <f t="shared" ca="1" si="44"/>
        <v>0</v>
      </c>
      <c r="S64" s="395">
        <f t="shared" ca="1" si="44"/>
        <v>0</v>
      </c>
      <c r="T64" s="395">
        <f t="shared" ca="1" si="44"/>
        <v>360853400</v>
      </c>
      <c r="U64" s="395">
        <f t="shared" ca="1" si="44"/>
        <v>29920000</v>
      </c>
      <c r="V64" s="395">
        <f t="shared" ca="1" si="44"/>
        <v>0</v>
      </c>
      <c r="W64" s="395">
        <f t="shared" ca="1" si="44"/>
        <v>0</v>
      </c>
      <c r="X64" s="395">
        <f t="shared" ca="1" si="44"/>
        <v>1500000</v>
      </c>
      <c r="Y64" s="395">
        <f t="shared" ca="1" si="44"/>
        <v>1500000</v>
      </c>
      <c r="Z64" s="395">
        <f t="shared" ca="1" si="44"/>
        <v>438500000</v>
      </c>
      <c r="AA64" s="395">
        <f t="shared" ca="1" si="44"/>
        <v>438500000</v>
      </c>
      <c r="AB64" s="395">
        <f t="shared" ca="1" si="44"/>
        <v>0</v>
      </c>
      <c r="AC64" s="395">
        <f t="shared" ca="1" si="44"/>
        <v>0</v>
      </c>
      <c r="AD64" s="395">
        <f t="shared" ca="1" si="44"/>
        <v>0</v>
      </c>
      <c r="AE64" s="395">
        <f t="shared" ca="1" si="44"/>
        <v>0</v>
      </c>
      <c r="AF64" s="395">
        <f t="shared" ca="1" si="44"/>
        <v>2041200</v>
      </c>
      <c r="AG64" s="395">
        <f t="shared" ca="1" si="44"/>
        <v>0</v>
      </c>
      <c r="AH64" s="395">
        <f t="shared" ca="1" si="44"/>
        <v>29121910</v>
      </c>
      <c r="AI64" s="395">
        <f t="shared" ca="1" si="44"/>
        <v>2041200</v>
      </c>
      <c r="AJ64" s="395">
        <f t="shared" ca="1" si="44"/>
        <v>0</v>
      </c>
      <c r="AK64" s="395">
        <f t="shared" ca="1" si="44"/>
        <v>0</v>
      </c>
      <c r="AL64" s="395">
        <f t="shared" ca="1" si="44"/>
        <v>0</v>
      </c>
      <c r="AM64" s="395">
        <f t="shared" ca="1" si="44"/>
        <v>0</v>
      </c>
      <c r="AN64" s="395">
        <f t="shared" ca="1" si="44"/>
        <v>29121910</v>
      </c>
      <c r="AO64" s="395">
        <f t="shared" ca="1" si="44"/>
        <v>29121910</v>
      </c>
      <c r="AP64" s="395">
        <f t="shared" ca="1" si="44"/>
        <v>0</v>
      </c>
      <c r="AQ64" s="395">
        <f t="shared" ca="1" si="44"/>
        <v>0</v>
      </c>
      <c r="AR64" s="395">
        <f t="shared" ca="1" si="44"/>
        <v>0</v>
      </c>
      <c r="AS64" s="395">
        <f t="shared" ca="1" si="44"/>
        <v>0</v>
      </c>
      <c r="AT64" s="395">
        <f t="shared" ca="1" si="44"/>
        <v>0</v>
      </c>
      <c r="AU64" s="395">
        <f t="shared" ca="1" si="44"/>
        <v>0</v>
      </c>
      <c r="AV64" s="395">
        <f t="shared" ca="1" si="44"/>
        <v>29121910</v>
      </c>
      <c r="AW64" s="395">
        <f t="shared" ca="1" si="44"/>
        <v>29121910</v>
      </c>
    </row>
    <row r="65" spans="1:49" s="392" customFormat="1" ht="12.75" customHeight="1">
      <c r="A65" s="402"/>
      <c r="B65" s="402"/>
      <c r="C65" s="402"/>
      <c r="D65" s="402"/>
      <c r="E65" s="403" t="s">
        <v>292</v>
      </c>
      <c r="F65" s="402"/>
      <c r="G65" s="404"/>
      <c r="H65" s="404"/>
      <c r="I65" s="402"/>
      <c r="J65" s="405">
        <f ca="1">MAX(J10+J64-K10-K64,0)</f>
        <v>2282443500</v>
      </c>
      <c r="K65" s="405">
        <f ca="1">MAX(K10+K64-J10-J64,0)</f>
        <v>0</v>
      </c>
      <c r="L65" s="405">
        <f ca="1">MAX(L10+L64-M10-M64,0)</f>
        <v>380011000</v>
      </c>
      <c r="M65" s="405">
        <f ca="1">MAX(M10+M64-L10-L64,0)</f>
        <v>0</v>
      </c>
      <c r="N65" s="405">
        <f ca="1">MAX(N10+N64-O10-O64,0)</f>
        <v>2762190</v>
      </c>
      <c r="O65" s="405">
        <f ca="1">MAX(O10+O64-N10-N64,0)</f>
        <v>0</v>
      </c>
      <c r="P65" s="405">
        <f ca="1">MAX(P10+P64-Q10-Q64,0)</f>
        <v>0</v>
      </c>
      <c r="Q65" s="405">
        <f ca="1">MAX(Q10+Q64-P10-P64,0)</f>
        <v>0</v>
      </c>
      <c r="R65" s="405">
        <f ca="1">MAX(R10+R64-S10-S64,0)</f>
        <v>0</v>
      </c>
      <c r="S65" s="405">
        <f ca="1">MAX(S10+S64-R10-R64,0)</f>
        <v>0</v>
      </c>
      <c r="T65" s="405">
        <f ca="1">MAX(T10+T64-U10-U64,0)</f>
        <v>1180933400</v>
      </c>
      <c r="U65" s="405">
        <f ca="1">MAX(U10+U64-T10-T64,0)</f>
        <v>0</v>
      </c>
      <c r="V65" s="405">
        <f ca="1">MAX(V10+V64-W10-W64,0)</f>
        <v>0</v>
      </c>
      <c r="W65" s="405">
        <f ca="1">MAX(W10+W64-V10-V64,0)</f>
        <v>0</v>
      </c>
      <c r="X65" s="405">
        <f ca="1">MAX(X10+X64-Y10-Y64,0)</f>
        <v>0</v>
      </c>
      <c r="Y65" s="405">
        <f ca="1">MAX(Y10+Y64-X10-X64,0)</f>
        <v>0</v>
      </c>
      <c r="Z65" s="405">
        <f ca="1">MAX(Z10+Z64-AA10-AA64,0)</f>
        <v>0</v>
      </c>
      <c r="AA65" s="405">
        <f ca="1">MAX(AA10+AA64-Z10-Z64,0)</f>
        <v>0</v>
      </c>
      <c r="AB65" s="405">
        <f ca="1">MAX(AB10+AB64-AC10-AC64,0)</f>
        <v>0</v>
      </c>
      <c r="AC65" s="405">
        <f ca="1">MAX(AC10+AC64-AB10-AB64,0)</f>
        <v>0</v>
      </c>
      <c r="AD65" s="405">
        <f ca="1">MAX(AD10+AD64-AE10-AE64,0)</f>
        <v>0</v>
      </c>
      <c r="AE65" s="405">
        <f ca="1">MAX(AE10+AE64-AD10-AD64,0)</f>
        <v>4000000000</v>
      </c>
      <c r="AF65" s="405">
        <f ca="1">MAX(AF10+AF64-AG10-AG64,0)</f>
        <v>124728000</v>
      </c>
      <c r="AG65" s="405">
        <f ca="1">MAX(AG10+AG64-AF10-AF64,0)</f>
        <v>0</v>
      </c>
      <c r="AH65" s="405">
        <f ca="1">MAX(AH10+AH64-AI10-AI64,0)</f>
        <v>29121910</v>
      </c>
      <c r="AI65" s="405">
        <f ca="1">MAX(AI10+AI64-AH10-AH64,0)</f>
        <v>0</v>
      </c>
      <c r="AJ65" s="405">
        <f ca="1">MAX(AJ10+AJ64-AK10-AK64,0)</f>
        <v>0</v>
      </c>
      <c r="AK65" s="405">
        <f ca="1">MAX(AK10+AK64-AJ10-AJ64,0)</f>
        <v>0</v>
      </c>
      <c r="AL65" s="405">
        <f ca="1">MAX(AL10+AL64-AM10-AM64,0)</f>
        <v>0</v>
      </c>
      <c r="AM65" s="405">
        <f ca="1">MAX(AM10+AM64-AL10-AL64,0)</f>
        <v>0</v>
      </c>
      <c r="AN65" s="405">
        <f ca="1">MAX(AN10+AN64-AO10-AO64,0)</f>
        <v>0</v>
      </c>
      <c r="AO65" s="405">
        <f ca="1">MAX(AO10+AO64-AN10-AN64,0)</f>
        <v>0</v>
      </c>
      <c r="AP65" s="405">
        <f ca="1">MAX(AP10+AP64-AQ10-AQ64,0)</f>
        <v>0</v>
      </c>
      <c r="AQ65" s="405">
        <f ca="1">MAX(AQ10+AQ64-AP10-AP64,0)</f>
        <v>0</v>
      </c>
      <c r="AR65" s="405">
        <f ca="1">MAX(AR10+AR64-AS10-AS64,0)</f>
        <v>0</v>
      </c>
      <c r="AS65" s="405">
        <f ca="1">MAX(AS10+AS64-AR10-AR64,0)</f>
        <v>0</v>
      </c>
      <c r="AT65" s="405">
        <f ca="1">MAX(AT10+AT64-AU10-AU64,0)</f>
        <v>0</v>
      </c>
      <c r="AU65" s="405">
        <f ca="1">MAX(AU10+AU64-AT10-AT64,0)</f>
        <v>0</v>
      </c>
      <c r="AV65" s="405">
        <f ca="1">MAX(AV10+AV64-AW10-AW64,0)</f>
        <v>0</v>
      </c>
      <c r="AW65" s="405">
        <f ca="1">MAX(AW10+AW64-AV10-AV64,0)</f>
        <v>0</v>
      </c>
    </row>
    <row r="66" spans="1:49" s="392" customFormat="1" ht="12.75" customHeight="1">
      <c r="A66" s="406"/>
      <c r="B66" s="406"/>
      <c r="C66" s="407"/>
      <c r="D66" s="406"/>
      <c r="E66" s="408" t="s">
        <v>293</v>
      </c>
      <c r="F66" s="406"/>
      <c r="G66" s="409"/>
      <c r="H66" s="409"/>
      <c r="I66" s="406"/>
      <c r="J66" s="410">
        <f ca="1">J64</f>
        <v>0</v>
      </c>
      <c r="K66" s="410">
        <f ca="1">K64</f>
        <v>742200000</v>
      </c>
      <c r="L66" s="410">
        <f t="shared" ref="L66:AW66" ca="1" si="45">L64</f>
        <v>742200000</v>
      </c>
      <c r="M66" s="410">
        <f t="shared" ca="1" si="45"/>
        <v>362817500</v>
      </c>
      <c r="N66" s="410">
        <f t="shared" ca="1" si="45"/>
        <v>2762190</v>
      </c>
      <c r="O66" s="410">
        <f t="shared" ca="1" si="45"/>
        <v>0</v>
      </c>
      <c r="P66" s="410">
        <f t="shared" ca="1" si="45"/>
        <v>0</v>
      </c>
      <c r="Q66" s="410">
        <f t="shared" ca="1" si="45"/>
        <v>0</v>
      </c>
      <c r="R66" s="410">
        <f t="shared" ca="1" si="45"/>
        <v>0</v>
      </c>
      <c r="S66" s="410">
        <f t="shared" ca="1" si="45"/>
        <v>0</v>
      </c>
      <c r="T66" s="410">
        <f t="shared" ca="1" si="45"/>
        <v>360853400</v>
      </c>
      <c r="U66" s="410">
        <f t="shared" ca="1" si="45"/>
        <v>29920000</v>
      </c>
      <c r="V66" s="410">
        <f t="shared" ca="1" si="45"/>
        <v>0</v>
      </c>
      <c r="W66" s="410">
        <f t="shared" ca="1" si="45"/>
        <v>0</v>
      </c>
      <c r="X66" s="410">
        <f t="shared" ca="1" si="45"/>
        <v>1500000</v>
      </c>
      <c r="Y66" s="410">
        <f t="shared" ca="1" si="45"/>
        <v>1500000</v>
      </c>
      <c r="Z66" s="410">
        <f ca="1">Z64</f>
        <v>438500000</v>
      </c>
      <c r="AA66" s="410">
        <f t="shared" ca="1" si="45"/>
        <v>438500000</v>
      </c>
      <c r="AB66" s="410">
        <f t="shared" ca="1" si="45"/>
        <v>0</v>
      </c>
      <c r="AC66" s="410">
        <f t="shared" ca="1" si="45"/>
        <v>0</v>
      </c>
      <c r="AD66" s="410">
        <f t="shared" ca="1" si="45"/>
        <v>0</v>
      </c>
      <c r="AE66" s="410">
        <f t="shared" ca="1" si="45"/>
        <v>0</v>
      </c>
      <c r="AF66" s="410">
        <f t="shared" ca="1" si="45"/>
        <v>2041200</v>
      </c>
      <c r="AG66" s="410">
        <f t="shared" ca="1" si="45"/>
        <v>0</v>
      </c>
      <c r="AH66" s="410">
        <f t="shared" ca="1" si="45"/>
        <v>29121910</v>
      </c>
      <c r="AI66" s="410">
        <f t="shared" ca="1" si="45"/>
        <v>2041200</v>
      </c>
      <c r="AJ66" s="410">
        <f t="shared" ca="1" si="45"/>
        <v>0</v>
      </c>
      <c r="AK66" s="410">
        <f t="shared" ca="1" si="45"/>
        <v>0</v>
      </c>
      <c r="AL66" s="410">
        <f t="shared" ca="1" si="45"/>
        <v>0</v>
      </c>
      <c r="AM66" s="410">
        <f t="shared" ca="1" si="45"/>
        <v>0</v>
      </c>
      <c r="AN66" s="410">
        <f t="shared" ca="1" si="45"/>
        <v>29121910</v>
      </c>
      <c r="AO66" s="410">
        <f t="shared" ca="1" si="45"/>
        <v>29121910</v>
      </c>
      <c r="AP66" s="410">
        <f t="shared" ca="1" si="45"/>
        <v>0</v>
      </c>
      <c r="AQ66" s="410">
        <f t="shared" ca="1" si="45"/>
        <v>0</v>
      </c>
      <c r="AR66" s="410">
        <f t="shared" ca="1" si="45"/>
        <v>0</v>
      </c>
      <c r="AS66" s="410">
        <f t="shared" ca="1" si="45"/>
        <v>0</v>
      </c>
      <c r="AT66" s="410">
        <f ca="1">AT64</f>
        <v>0</v>
      </c>
      <c r="AU66" s="410">
        <f ca="1">AU64</f>
        <v>0</v>
      </c>
      <c r="AV66" s="410">
        <f t="shared" ca="1" si="45"/>
        <v>29121910</v>
      </c>
      <c r="AW66" s="410">
        <f t="shared" ca="1" si="45"/>
        <v>29121910</v>
      </c>
    </row>
    <row r="67" spans="1:49" ht="12" customHeight="1">
      <c r="B67" s="411"/>
      <c r="C67" s="412"/>
      <c r="D67" s="412"/>
      <c r="E67" s="412"/>
      <c r="F67" s="412"/>
      <c r="G67" s="413"/>
      <c r="H67" s="413"/>
      <c r="I67" s="412"/>
      <c r="J67" s="412"/>
      <c r="K67" s="412"/>
    </row>
    <row r="68" spans="1:49">
      <c r="F68" s="414"/>
      <c r="M68" s="414"/>
      <c r="O68" s="414"/>
      <c r="P68" s="414"/>
      <c r="Q68" s="414"/>
      <c r="R68" s="414"/>
      <c r="S68" s="414"/>
      <c r="T68" s="414"/>
      <c r="AH68" s="415" t="s">
        <v>294</v>
      </c>
      <c r="AI68" s="416"/>
      <c r="AJ68" s="416"/>
      <c r="AK68" s="416"/>
      <c r="AL68" s="416"/>
      <c r="AM68" s="416"/>
      <c r="AN68" s="417"/>
      <c r="AO68" s="417"/>
      <c r="AP68" s="416"/>
    </row>
    <row r="69" spans="1:49">
      <c r="F69" s="414"/>
      <c r="M69" s="414"/>
      <c r="O69" s="414"/>
      <c r="P69" s="414"/>
      <c r="Q69" s="414"/>
      <c r="R69" s="414"/>
      <c r="S69" s="414"/>
      <c r="T69" s="414"/>
      <c r="AH69" s="418" t="s">
        <v>354</v>
      </c>
      <c r="AI69" s="416"/>
      <c r="AJ69" s="416"/>
      <c r="AK69" s="416"/>
      <c r="AL69" s="416"/>
      <c r="AM69" s="416"/>
      <c r="AN69" s="417"/>
      <c r="AO69" s="417"/>
      <c r="AP69" s="416"/>
    </row>
    <row r="70" spans="1:49">
      <c r="F70" s="414"/>
      <c r="M70" s="414"/>
      <c r="O70" s="414"/>
      <c r="P70" s="414"/>
      <c r="Q70" s="414"/>
      <c r="R70" s="414"/>
      <c r="S70" s="414"/>
      <c r="T70" s="414"/>
      <c r="AH70" s="416"/>
      <c r="AI70" s="416"/>
      <c r="AJ70" s="416"/>
      <c r="AK70" s="416"/>
      <c r="AL70" s="416"/>
      <c r="AM70" s="416"/>
      <c r="AN70" s="416"/>
      <c r="AO70" s="416"/>
      <c r="AP70" s="417"/>
    </row>
    <row r="71" spans="1:49">
      <c r="F71" s="414"/>
      <c r="AH71" s="416"/>
      <c r="AI71" s="416"/>
      <c r="AJ71" s="416"/>
      <c r="AK71" s="416"/>
      <c r="AL71" s="416"/>
      <c r="AM71" s="416"/>
      <c r="AN71" s="416"/>
      <c r="AO71" s="416"/>
      <c r="AP71" s="417"/>
      <c r="AV71" s="419" t="str">
        <f>"Ngày 31 tháng 03 năm 2014 "</f>
        <v xml:space="preserve">Ngày 31 tháng 03 năm 2014 </v>
      </c>
    </row>
    <row r="72" spans="1:49">
      <c r="F72" s="414"/>
      <c r="M72" s="414"/>
      <c r="O72" s="414"/>
      <c r="P72" s="414"/>
      <c r="Q72" s="414"/>
      <c r="R72" s="414"/>
      <c r="S72" s="414"/>
      <c r="T72" s="414"/>
      <c r="AH72" s="416"/>
      <c r="AI72" s="420" t="s">
        <v>13</v>
      </c>
      <c r="AJ72" s="416"/>
      <c r="AK72" s="416"/>
      <c r="AL72" s="416"/>
      <c r="AM72" s="416"/>
      <c r="AN72" s="416"/>
      <c r="AO72" s="421" t="s">
        <v>14</v>
      </c>
      <c r="AP72" s="417"/>
      <c r="AV72" s="420" t="s">
        <v>178</v>
      </c>
    </row>
    <row r="73" spans="1:49">
      <c r="F73" s="414"/>
      <c r="M73" s="414"/>
      <c r="O73" s="414"/>
      <c r="P73" s="414"/>
      <c r="Q73" s="414"/>
      <c r="R73" s="414"/>
      <c r="S73" s="414"/>
      <c r="T73" s="414"/>
      <c r="AH73" s="416"/>
      <c r="AI73" s="422" t="s">
        <v>15</v>
      </c>
      <c r="AJ73" s="416"/>
      <c r="AK73" s="416"/>
      <c r="AL73" s="416"/>
      <c r="AM73" s="416"/>
      <c r="AN73" s="416"/>
      <c r="AO73" s="423" t="s">
        <v>15</v>
      </c>
      <c r="AP73" s="417"/>
      <c r="AV73" s="422" t="s">
        <v>212</v>
      </c>
    </row>
    <row r="74" spans="1:49">
      <c r="F74" s="414"/>
      <c r="M74" s="414"/>
      <c r="O74" s="414"/>
      <c r="P74" s="414"/>
      <c r="Q74" s="414"/>
      <c r="R74" s="414"/>
      <c r="S74" s="414"/>
      <c r="T74" s="414"/>
      <c r="AH74" s="416"/>
      <c r="AI74" s="416"/>
      <c r="AJ74" s="416"/>
      <c r="AK74" s="416"/>
      <c r="AL74" s="416"/>
      <c r="AM74" s="416"/>
      <c r="AN74" s="416"/>
      <c r="AO74" s="416"/>
      <c r="AP74" s="417"/>
      <c r="AV74" s="416"/>
    </row>
    <row r="75" spans="1:49">
      <c r="F75" s="414"/>
      <c r="M75" s="414"/>
      <c r="O75" s="414"/>
      <c r="P75" s="414"/>
      <c r="Q75" s="414"/>
      <c r="R75" s="414"/>
      <c r="S75" s="414"/>
      <c r="T75" s="414"/>
      <c r="AV75" s="416"/>
    </row>
    <row r="76" spans="1:49">
      <c r="F76" s="414"/>
      <c r="M76" s="414"/>
      <c r="O76" s="414"/>
      <c r="P76" s="414"/>
      <c r="Q76" s="414"/>
      <c r="R76" s="414"/>
      <c r="S76" s="414"/>
      <c r="T76" s="414"/>
    </row>
    <row r="77" spans="1:49">
      <c r="F77" s="414"/>
      <c r="M77" s="414"/>
      <c r="O77" s="414"/>
      <c r="P77" s="414"/>
      <c r="Q77" s="414"/>
      <c r="R77" s="414"/>
      <c r="S77" s="414"/>
      <c r="T77" s="414"/>
    </row>
    <row r="78" spans="1:49">
      <c r="F78" s="414"/>
    </row>
    <row r="79" spans="1:49">
      <c r="F79" s="414"/>
      <c r="M79" s="414"/>
      <c r="O79" s="414"/>
      <c r="P79" s="414"/>
      <c r="Q79" s="414"/>
      <c r="R79" s="414"/>
      <c r="S79" s="414"/>
      <c r="T79" s="414"/>
    </row>
    <row r="80" spans="1:49">
      <c r="F80" s="414"/>
      <c r="M80" s="414"/>
      <c r="O80" s="414"/>
      <c r="P80" s="414"/>
      <c r="Q80" s="414"/>
      <c r="R80" s="414"/>
      <c r="S80" s="414"/>
      <c r="T80" s="414"/>
    </row>
    <row r="81" spans="6:20">
      <c r="F81" s="414"/>
      <c r="M81" s="414"/>
      <c r="O81" s="414"/>
      <c r="P81" s="414"/>
      <c r="Q81" s="414"/>
      <c r="R81" s="414"/>
      <c r="S81" s="414"/>
      <c r="T81" s="414"/>
    </row>
    <row r="82" spans="6:20">
      <c r="F82" s="414"/>
      <c r="M82" s="414"/>
      <c r="O82" s="414"/>
      <c r="P82" s="414"/>
      <c r="Q82" s="414"/>
      <c r="R82" s="414"/>
      <c r="S82" s="414"/>
      <c r="T82" s="414"/>
    </row>
    <row r="83" spans="6:20">
      <c r="F83" s="414"/>
      <c r="M83" s="414"/>
      <c r="O83" s="414"/>
      <c r="P83" s="414"/>
      <c r="Q83" s="414"/>
      <c r="R83" s="414"/>
      <c r="S83" s="414"/>
      <c r="T83" s="414"/>
    </row>
    <row r="84" spans="6:20">
      <c r="F84" s="414"/>
      <c r="M84" s="414"/>
      <c r="O84" s="414"/>
      <c r="P84" s="414"/>
      <c r="Q84" s="414"/>
      <c r="R84" s="414"/>
      <c r="S84" s="414"/>
      <c r="T84" s="414"/>
    </row>
    <row r="85" spans="6:20">
      <c r="F85" s="414"/>
      <c r="M85" s="414"/>
      <c r="O85" s="414"/>
      <c r="P85" s="414"/>
      <c r="Q85" s="414"/>
      <c r="R85" s="414"/>
      <c r="S85" s="414"/>
      <c r="T85" s="414"/>
    </row>
    <row r="86" spans="6:20">
      <c r="F86" s="414"/>
      <c r="M86" s="414"/>
      <c r="O86" s="414"/>
      <c r="P86" s="414"/>
      <c r="Q86" s="414"/>
      <c r="R86" s="414"/>
      <c r="S86" s="414"/>
      <c r="T86" s="414"/>
    </row>
    <row r="87" spans="6:20">
      <c r="F87" s="414"/>
      <c r="M87" s="414"/>
      <c r="O87" s="414"/>
      <c r="P87" s="414"/>
      <c r="Q87" s="414"/>
      <c r="R87" s="414"/>
      <c r="S87" s="414"/>
      <c r="T87" s="414"/>
    </row>
    <row r="88" spans="6:20">
      <c r="F88" s="414"/>
      <c r="M88" s="414"/>
      <c r="O88" s="414"/>
      <c r="P88" s="414"/>
      <c r="Q88" s="414"/>
      <c r="R88" s="414"/>
      <c r="S88" s="414"/>
      <c r="T88" s="414"/>
    </row>
    <row r="89" spans="6:20">
      <c r="F89" s="414"/>
      <c r="M89" s="414"/>
      <c r="O89" s="414"/>
      <c r="P89" s="414"/>
      <c r="Q89" s="414"/>
      <c r="R89" s="414"/>
      <c r="S89" s="414"/>
      <c r="T89" s="414"/>
    </row>
    <row r="90" spans="6:20">
      <c r="F90" s="414"/>
      <c r="M90" s="414"/>
      <c r="O90" s="414"/>
      <c r="P90" s="414"/>
      <c r="Q90" s="414"/>
      <c r="R90" s="414"/>
      <c r="S90" s="414"/>
      <c r="T90" s="414"/>
    </row>
    <row r="91" spans="6:20">
      <c r="F91" s="414"/>
      <c r="M91" s="414"/>
      <c r="O91" s="414"/>
      <c r="P91" s="414"/>
      <c r="Q91" s="414"/>
      <c r="R91" s="414"/>
      <c r="S91" s="414"/>
      <c r="T91" s="414"/>
    </row>
    <row r="92" spans="6:20">
      <c r="F92" s="414"/>
      <c r="M92" s="414"/>
      <c r="O92" s="414"/>
      <c r="P92" s="414"/>
      <c r="Q92" s="414"/>
      <c r="R92" s="414"/>
      <c r="S92" s="414"/>
      <c r="T92" s="414"/>
    </row>
    <row r="93" spans="6:20">
      <c r="F93" s="414"/>
      <c r="M93" s="414"/>
      <c r="O93" s="414"/>
      <c r="P93" s="414"/>
      <c r="Q93" s="414"/>
      <c r="R93" s="414"/>
      <c r="S93" s="414"/>
      <c r="T93" s="414"/>
    </row>
    <row r="94" spans="6:20">
      <c r="F94" s="414"/>
      <c r="M94" s="414"/>
      <c r="O94" s="414"/>
      <c r="P94" s="414"/>
      <c r="Q94" s="414"/>
      <c r="R94" s="414"/>
      <c r="S94" s="414"/>
      <c r="T94" s="414"/>
    </row>
    <row r="95" spans="6:20">
      <c r="F95" s="414"/>
      <c r="M95" s="414"/>
      <c r="O95" s="414"/>
      <c r="P95" s="414"/>
      <c r="Q95" s="414"/>
      <c r="R95" s="414"/>
      <c r="S95" s="414"/>
      <c r="T95" s="414"/>
    </row>
    <row r="96" spans="6:20">
      <c r="F96" s="414"/>
      <c r="M96" s="414"/>
      <c r="O96" s="414"/>
      <c r="P96" s="414"/>
      <c r="Q96" s="414"/>
      <c r="R96" s="414"/>
      <c r="S96" s="414"/>
      <c r="T96" s="414"/>
    </row>
    <row r="97" spans="6:20">
      <c r="F97" s="414"/>
      <c r="M97" s="414"/>
      <c r="O97" s="414"/>
      <c r="P97" s="414"/>
      <c r="Q97" s="414"/>
      <c r="R97" s="414"/>
      <c r="S97" s="414"/>
      <c r="T97" s="414"/>
    </row>
    <row r="98" spans="6:20">
      <c r="F98" s="414"/>
      <c r="M98" s="414"/>
      <c r="O98" s="414"/>
      <c r="P98" s="414"/>
      <c r="Q98" s="414"/>
      <c r="R98" s="414"/>
      <c r="S98" s="414"/>
      <c r="T98" s="414"/>
    </row>
    <row r="99" spans="6:20">
      <c r="F99" s="414"/>
      <c r="M99" s="414"/>
      <c r="O99" s="414"/>
      <c r="P99" s="414"/>
      <c r="Q99" s="414"/>
      <c r="R99" s="414"/>
      <c r="S99" s="414"/>
      <c r="T99" s="414"/>
    </row>
    <row r="100" spans="6:20">
      <c r="F100" s="414"/>
      <c r="M100" s="414"/>
      <c r="O100" s="414"/>
      <c r="P100" s="414"/>
      <c r="Q100" s="414"/>
      <c r="R100" s="414"/>
      <c r="S100" s="414"/>
      <c r="T100" s="414"/>
    </row>
    <row r="101" spans="6:20">
      <c r="F101" s="414"/>
      <c r="M101" s="414"/>
      <c r="O101" s="414"/>
      <c r="P101" s="414"/>
      <c r="Q101" s="414"/>
      <c r="R101" s="414"/>
      <c r="S101" s="414"/>
      <c r="T101" s="414"/>
    </row>
    <row r="102" spans="6:20">
      <c r="F102" s="414"/>
      <c r="M102" s="414"/>
      <c r="O102" s="414"/>
      <c r="P102" s="414"/>
      <c r="Q102" s="414"/>
      <c r="R102" s="414"/>
      <c r="S102" s="414"/>
      <c r="T102" s="414"/>
    </row>
    <row r="103" spans="6:20">
      <c r="F103" s="414"/>
      <c r="M103" s="414"/>
      <c r="O103" s="414"/>
      <c r="P103" s="414"/>
      <c r="Q103" s="414"/>
      <c r="R103" s="414"/>
      <c r="S103" s="414"/>
      <c r="T103" s="414"/>
    </row>
    <row r="104" spans="6:20">
      <c r="F104" s="414"/>
      <c r="M104" s="414"/>
      <c r="O104" s="414"/>
      <c r="P104" s="414"/>
      <c r="Q104" s="414"/>
      <c r="R104" s="414"/>
      <c r="S104" s="414"/>
      <c r="T104" s="414"/>
    </row>
    <row r="105" spans="6:20">
      <c r="F105" s="414"/>
      <c r="M105" s="414"/>
      <c r="O105" s="414"/>
      <c r="P105" s="414"/>
      <c r="Q105" s="414"/>
      <c r="R105" s="414"/>
      <c r="S105" s="414"/>
      <c r="T105" s="414"/>
    </row>
    <row r="106" spans="6:20">
      <c r="F106" s="414"/>
      <c r="M106" s="414"/>
      <c r="O106" s="414"/>
      <c r="P106" s="414"/>
      <c r="Q106" s="414"/>
      <c r="R106" s="414"/>
      <c r="S106" s="414"/>
      <c r="T106" s="414"/>
    </row>
    <row r="107" spans="6:20">
      <c r="F107" s="414"/>
      <c r="M107" s="414"/>
      <c r="O107" s="414"/>
      <c r="P107" s="414"/>
      <c r="Q107" s="414"/>
      <c r="R107" s="414"/>
      <c r="S107" s="414"/>
      <c r="T107" s="414"/>
    </row>
    <row r="108" spans="6:20">
      <c r="F108" s="414"/>
      <c r="M108" s="414"/>
      <c r="O108" s="414"/>
      <c r="P108" s="414"/>
      <c r="Q108" s="414"/>
      <c r="R108" s="414"/>
      <c r="S108" s="414"/>
      <c r="T108" s="414"/>
    </row>
    <row r="109" spans="6:20">
      <c r="F109" s="414"/>
      <c r="M109" s="414"/>
      <c r="O109" s="414"/>
      <c r="P109" s="414"/>
      <c r="Q109" s="414"/>
      <c r="R109" s="414"/>
      <c r="S109" s="414"/>
      <c r="T109" s="414"/>
    </row>
    <row r="110" spans="6:20">
      <c r="F110" s="414"/>
      <c r="M110" s="414"/>
      <c r="O110" s="414"/>
      <c r="P110" s="414"/>
      <c r="Q110" s="414"/>
      <c r="R110" s="414"/>
      <c r="S110" s="414"/>
      <c r="T110" s="414"/>
    </row>
    <row r="111" spans="6:20">
      <c r="F111" s="414"/>
      <c r="M111" s="414"/>
      <c r="O111" s="414"/>
      <c r="P111" s="414"/>
      <c r="Q111" s="414"/>
      <c r="R111" s="414"/>
      <c r="S111" s="414"/>
      <c r="T111" s="414"/>
    </row>
    <row r="112" spans="6:20">
      <c r="F112" s="414"/>
      <c r="M112" s="414"/>
      <c r="O112" s="414"/>
      <c r="P112" s="414"/>
      <c r="Q112" s="414"/>
      <c r="R112" s="414"/>
      <c r="S112" s="414"/>
      <c r="T112" s="414"/>
    </row>
    <row r="113" spans="6:20">
      <c r="F113" s="414"/>
      <c r="M113" s="414"/>
      <c r="O113" s="414"/>
      <c r="P113" s="414"/>
      <c r="Q113" s="414"/>
      <c r="R113" s="414"/>
      <c r="S113" s="414"/>
      <c r="T113" s="414"/>
    </row>
    <row r="114" spans="6:20">
      <c r="F114" s="414"/>
      <c r="M114" s="414"/>
      <c r="O114" s="414"/>
      <c r="P114" s="414"/>
      <c r="Q114" s="414"/>
      <c r="R114" s="414"/>
      <c r="S114" s="414"/>
      <c r="T114" s="414"/>
    </row>
    <row r="115" spans="6:20">
      <c r="F115" s="414"/>
      <c r="M115" s="414"/>
      <c r="O115" s="414"/>
      <c r="P115" s="414"/>
      <c r="Q115" s="414"/>
      <c r="R115" s="414"/>
      <c r="S115" s="414"/>
      <c r="T115" s="414"/>
    </row>
    <row r="116" spans="6:20">
      <c r="F116" s="414"/>
      <c r="M116" s="414"/>
      <c r="O116" s="414"/>
      <c r="P116" s="414"/>
      <c r="Q116" s="414"/>
      <c r="R116" s="414"/>
      <c r="S116" s="414"/>
      <c r="T116" s="414"/>
    </row>
    <row r="117" spans="6:20">
      <c r="F117" s="414"/>
      <c r="M117" s="414"/>
      <c r="O117" s="414"/>
      <c r="P117" s="414"/>
      <c r="Q117" s="414"/>
      <c r="R117" s="414"/>
      <c r="S117" s="414"/>
      <c r="T117" s="414"/>
    </row>
    <row r="118" spans="6:20">
      <c r="F118" s="414"/>
      <c r="M118" s="414"/>
      <c r="O118" s="414"/>
      <c r="P118" s="414"/>
      <c r="Q118" s="414"/>
      <c r="R118" s="414"/>
      <c r="S118" s="414"/>
      <c r="T118" s="414"/>
    </row>
    <row r="119" spans="6:20">
      <c r="F119" s="414"/>
      <c r="M119" s="414"/>
      <c r="O119" s="414"/>
      <c r="P119" s="414"/>
      <c r="Q119" s="414"/>
      <c r="R119" s="414"/>
      <c r="S119" s="414"/>
      <c r="T119" s="414"/>
    </row>
    <row r="120" spans="6:20">
      <c r="F120" s="414"/>
      <c r="M120" s="414"/>
      <c r="O120" s="414"/>
      <c r="P120" s="414"/>
      <c r="Q120" s="414"/>
      <c r="R120" s="414"/>
      <c r="S120" s="414"/>
      <c r="T120" s="414"/>
    </row>
    <row r="121" spans="6:20">
      <c r="F121" s="414"/>
      <c r="M121" s="414"/>
      <c r="O121" s="414"/>
      <c r="P121" s="414"/>
      <c r="Q121" s="414"/>
      <c r="R121" s="414"/>
      <c r="S121" s="414"/>
      <c r="T121" s="414"/>
    </row>
    <row r="122" spans="6:20">
      <c r="F122" s="414"/>
      <c r="M122" s="414"/>
      <c r="O122" s="414"/>
      <c r="P122" s="414"/>
      <c r="Q122" s="414"/>
      <c r="R122" s="414"/>
      <c r="S122" s="414"/>
      <c r="T122" s="414"/>
    </row>
    <row r="123" spans="6:20">
      <c r="M123" s="414"/>
      <c r="O123" s="414"/>
      <c r="P123" s="414"/>
      <c r="Q123" s="414"/>
      <c r="R123" s="414"/>
      <c r="S123" s="414"/>
      <c r="T123" s="414"/>
    </row>
    <row r="124" spans="6:20">
      <c r="M124" s="414"/>
      <c r="O124" s="414"/>
      <c r="P124" s="414"/>
      <c r="Q124" s="414"/>
      <c r="R124" s="414"/>
      <c r="S124" s="414"/>
      <c r="T124" s="414"/>
    </row>
  </sheetData>
  <autoFilter ref="A9:AW66">
    <filterColumn colId="7"/>
  </autoFilter>
  <mergeCells count="31"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07"/>
  <sheetViews>
    <sheetView topLeftCell="A7" workbookViewId="0">
      <pane xSplit="8" ySplit="5" topLeftCell="AS12" activePane="bottomRight" state="frozen"/>
      <selection activeCell="E170" sqref="E170"/>
      <selection pane="topRight" activeCell="E170" sqref="E170"/>
      <selection pane="bottomLeft" activeCell="E170" sqref="E170"/>
      <selection pane="bottomRight" activeCell="F41" sqref="F41"/>
    </sheetView>
  </sheetViews>
  <sheetFormatPr defaultRowHeight="12.75"/>
  <cols>
    <col min="1" max="1" width="4.85546875" style="370" customWidth="1"/>
    <col min="2" max="2" width="9" style="370" customWidth="1"/>
    <col min="3" max="3" width="7.85546875" style="370" customWidth="1"/>
    <col min="4" max="4" width="9.42578125" style="370" customWidth="1"/>
    <col min="5" max="5" width="53.28515625" style="370" customWidth="1"/>
    <col min="6" max="6" width="14.42578125" style="370" customWidth="1"/>
    <col min="7" max="8" width="5.85546875" style="371" customWidth="1"/>
    <col min="9" max="9" width="4.85546875" style="370" customWidth="1"/>
    <col min="10" max="10" width="15.42578125" style="370" customWidth="1"/>
    <col min="11" max="11" width="15.140625" style="370" customWidth="1"/>
    <col min="12" max="12" width="15" style="370" customWidth="1"/>
    <col min="13" max="13" width="15.5703125" style="370" customWidth="1"/>
    <col min="14" max="14" width="14.28515625" style="370" customWidth="1"/>
    <col min="15" max="15" width="7.85546875" style="370" customWidth="1"/>
    <col min="16" max="16" width="13" style="370" customWidth="1"/>
    <col min="17" max="17" width="12.7109375" style="370" customWidth="1"/>
    <col min="18" max="18" width="14.5703125" style="370" customWidth="1"/>
    <col min="19" max="19" width="6" style="370" customWidth="1"/>
    <col min="20" max="20" width="14.5703125" style="370" customWidth="1"/>
    <col min="21" max="21" width="14" style="370" customWidth="1"/>
    <col min="22" max="22" width="6.5703125" style="370" customWidth="1"/>
    <col min="23" max="23" width="7.42578125" style="370" customWidth="1"/>
    <col min="24" max="25" width="11.140625" style="370" customWidth="1"/>
    <col min="26" max="27" width="12.5703125" style="370" customWidth="1"/>
    <col min="28" max="28" width="5.28515625" style="370" customWidth="1"/>
    <col min="29" max="29" width="15" style="370" customWidth="1"/>
    <col min="30" max="30" width="5.85546875" style="370" customWidth="1"/>
    <col min="31" max="31" width="13.85546875" style="370" customWidth="1"/>
    <col min="32" max="32" width="12.5703125" style="370" customWidth="1"/>
    <col min="33" max="33" width="5.7109375" style="370" customWidth="1"/>
    <col min="34" max="34" width="14.42578125" style="370" customWidth="1"/>
    <col min="35" max="35" width="13.85546875" style="370" customWidth="1"/>
    <col min="36" max="36" width="9.85546875" style="370" customWidth="1"/>
    <col min="37" max="37" width="9.7109375" style="370" customWidth="1"/>
    <col min="38" max="38" width="13.140625" style="370" customWidth="1"/>
    <col min="39" max="39" width="12.5703125" style="370" customWidth="1"/>
    <col min="40" max="41" width="14.28515625" style="370" customWidth="1"/>
    <col min="42" max="42" width="7" style="370" customWidth="1"/>
    <col min="43" max="43" width="7.5703125" style="370" customWidth="1"/>
    <col min="44" max="44" width="4.7109375" style="370" customWidth="1"/>
    <col min="45" max="45" width="9.5703125" style="370" customWidth="1"/>
    <col min="46" max="47" width="12.28515625" style="370" customWidth="1"/>
    <col min="48" max="48" width="15.7109375" style="370" customWidth="1"/>
    <col min="49" max="49" width="15.85546875" style="370" customWidth="1"/>
    <col min="50" max="16384" width="9.140625" style="370"/>
  </cols>
  <sheetData>
    <row r="1" spans="1:49" ht="12.75" customHeight="1">
      <c r="A1" s="366"/>
      <c r="B1" s="367" t="s">
        <v>161</v>
      </c>
      <c r="C1" s="368"/>
      <c r="D1" s="368"/>
      <c r="E1" s="369"/>
      <c r="I1" s="368"/>
      <c r="M1" s="491" t="s">
        <v>267</v>
      </c>
      <c r="N1" s="491"/>
      <c r="O1" s="491"/>
      <c r="P1" s="369"/>
      <c r="V1" s="368"/>
      <c r="W1" s="368"/>
      <c r="X1" s="368"/>
      <c r="Y1" s="368"/>
      <c r="Z1" s="369"/>
      <c r="AA1" s="369"/>
      <c r="AB1" s="369"/>
      <c r="AC1" s="369"/>
      <c r="AD1" s="369"/>
      <c r="AE1" s="369"/>
      <c r="AF1" s="369"/>
      <c r="AG1" s="369"/>
      <c r="AH1" s="368"/>
      <c r="AI1" s="368"/>
      <c r="AJ1" s="368"/>
      <c r="AK1" s="368"/>
      <c r="AL1" s="368"/>
      <c r="AM1" s="368"/>
      <c r="AN1" s="368"/>
      <c r="AO1" s="368"/>
      <c r="AP1" s="368"/>
      <c r="AQ1" s="368"/>
      <c r="AR1" s="368"/>
      <c r="AS1" s="368"/>
      <c r="AT1" s="368"/>
      <c r="AU1" s="368"/>
      <c r="AV1" s="368"/>
      <c r="AW1" s="368"/>
    </row>
    <row r="2" spans="1:49" ht="12.75" customHeight="1">
      <c r="A2" s="366"/>
      <c r="B2" s="367" t="s">
        <v>247</v>
      </c>
      <c r="C2" s="368"/>
      <c r="D2" s="368"/>
      <c r="E2" s="368"/>
      <c r="I2" s="372"/>
      <c r="M2" s="492" t="s">
        <v>268</v>
      </c>
      <c r="N2" s="492"/>
      <c r="O2" s="492"/>
      <c r="P2" s="373"/>
      <c r="V2" s="372"/>
      <c r="W2" s="372"/>
      <c r="X2" s="372"/>
      <c r="Y2" s="372"/>
      <c r="Z2" s="373"/>
      <c r="AA2" s="373"/>
      <c r="AB2" s="373"/>
      <c r="AC2" s="373"/>
      <c r="AD2" s="373"/>
      <c r="AE2" s="373"/>
      <c r="AF2" s="373"/>
      <c r="AG2" s="373"/>
      <c r="AH2" s="372"/>
      <c r="AI2" s="372"/>
      <c r="AJ2" s="372"/>
      <c r="AK2" s="372"/>
      <c r="AL2" s="372"/>
      <c r="AM2" s="372"/>
      <c r="AN2" s="372"/>
      <c r="AO2" s="372"/>
      <c r="AP2" s="372"/>
      <c r="AQ2" s="372"/>
      <c r="AR2" s="372"/>
      <c r="AS2" s="372"/>
      <c r="AT2" s="372"/>
      <c r="AU2" s="372"/>
      <c r="AV2" s="372"/>
      <c r="AW2" s="372"/>
    </row>
    <row r="3" spans="1:49" ht="10.5" customHeight="1">
      <c r="A3" s="368"/>
      <c r="B3" s="368"/>
      <c r="C3" s="368"/>
      <c r="D3" s="368"/>
      <c r="E3" s="368"/>
      <c r="F3" s="372"/>
      <c r="G3" s="374"/>
      <c r="H3" s="374"/>
      <c r="I3" s="372"/>
      <c r="M3" s="492"/>
      <c r="N3" s="492"/>
      <c r="O3" s="492"/>
      <c r="P3" s="373"/>
      <c r="V3" s="372"/>
      <c r="W3" s="372"/>
      <c r="X3" s="372"/>
      <c r="Y3" s="372"/>
      <c r="Z3" s="373"/>
      <c r="AA3" s="373"/>
      <c r="AB3" s="373"/>
      <c r="AC3" s="373"/>
      <c r="AD3" s="373"/>
      <c r="AE3" s="373"/>
      <c r="AF3" s="373"/>
      <c r="AG3" s="373"/>
      <c r="AH3" s="372"/>
      <c r="AI3" s="372"/>
      <c r="AJ3" s="372"/>
      <c r="AK3" s="372"/>
      <c r="AL3" s="372"/>
      <c r="AM3" s="372"/>
      <c r="AN3" s="372"/>
      <c r="AO3" s="372"/>
      <c r="AP3" s="372"/>
      <c r="AQ3" s="372"/>
      <c r="AR3" s="372"/>
      <c r="AS3" s="372"/>
      <c r="AT3" s="372"/>
      <c r="AU3" s="372"/>
      <c r="AV3" s="372"/>
      <c r="AW3" s="372"/>
    </row>
    <row r="4" spans="1:49" ht="19.5" customHeight="1">
      <c r="B4" s="493" t="s">
        <v>151</v>
      </c>
      <c r="C4" s="493"/>
      <c r="D4" s="493"/>
      <c r="E4" s="493"/>
      <c r="F4" s="493"/>
      <c r="G4" s="493"/>
      <c r="H4" s="493"/>
      <c r="I4" s="493"/>
      <c r="J4" s="493"/>
      <c r="K4" s="493"/>
      <c r="L4" s="493"/>
      <c r="M4" s="493"/>
      <c r="N4" s="493"/>
      <c r="O4" s="493"/>
      <c r="P4" s="493"/>
      <c r="Q4" s="375"/>
      <c r="R4" s="375"/>
      <c r="S4" s="375"/>
      <c r="T4" s="375"/>
      <c r="U4" s="375"/>
      <c r="V4" s="376"/>
      <c r="W4" s="376"/>
      <c r="X4" s="377"/>
      <c r="Y4" s="377"/>
      <c r="Z4" s="375"/>
      <c r="AA4" s="375"/>
      <c r="AB4" s="375"/>
      <c r="AC4" s="375"/>
      <c r="AD4" s="375"/>
      <c r="AE4" s="375"/>
      <c r="AF4" s="375"/>
      <c r="AG4" s="375"/>
      <c r="AH4" s="377"/>
      <c r="AI4" s="377"/>
      <c r="AJ4" s="377"/>
      <c r="AK4" s="377"/>
      <c r="AL4" s="377"/>
      <c r="AM4" s="377"/>
      <c r="AN4" s="377"/>
      <c r="AO4" s="377"/>
      <c r="AP4" s="377"/>
      <c r="AQ4" s="377"/>
      <c r="AR4" s="377"/>
      <c r="AS4" s="377"/>
      <c r="AT4" s="377"/>
      <c r="AU4" s="377"/>
      <c r="AV4" s="377"/>
      <c r="AW4" s="377"/>
    </row>
    <row r="5" spans="1:49" ht="15">
      <c r="B5" s="494" t="s">
        <v>355</v>
      </c>
      <c r="C5" s="494"/>
      <c r="D5" s="494"/>
      <c r="E5" s="494"/>
      <c r="F5" s="494"/>
      <c r="G5" s="494"/>
      <c r="H5" s="494"/>
      <c r="I5" s="494"/>
      <c r="J5" s="494"/>
      <c r="K5" s="494"/>
      <c r="L5" s="494"/>
      <c r="M5" s="494"/>
      <c r="N5" s="494"/>
      <c r="O5" s="494"/>
      <c r="P5" s="494"/>
      <c r="Q5" s="378"/>
      <c r="R5" s="378"/>
      <c r="S5" s="378"/>
      <c r="T5" s="378"/>
      <c r="U5" s="378"/>
      <c r="V5" s="379"/>
      <c r="W5" s="379"/>
      <c r="Z5" s="378"/>
      <c r="AA5" s="378"/>
      <c r="AB5" s="378"/>
      <c r="AC5" s="378"/>
      <c r="AD5" s="378"/>
      <c r="AE5" s="378"/>
      <c r="AF5" s="378"/>
      <c r="AG5" s="378"/>
    </row>
    <row r="6" spans="1:49">
      <c r="N6" s="370" t="s">
        <v>199</v>
      </c>
    </row>
    <row r="7" spans="1:49" ht="13.5" customHeight="1">
      <c r="A7" s="495" t="s">
        <v>50</v>
      </c>
      <c r="B7" s="497" t="s">
        <v>30</v>
      </c>
      <c r="C7" s="498" t="s">
        <v>1</v>
      </c>
      <c r="D7" s="499"/>
      <c r="E7" s="497" t="s">
        <v>0</v>
      </c>
      <c r="F7" s="497" t="s">
        <v>152</v>
      </c>
      <c r="G7" s="500" t="s">
        <v>153</v>
      </c>
      <c r="H7" s="500"/>
      <c r="I7" s="501" t="s">
        <v>50</v>
      </c>
      <c r="J7" s="497" t="s">
        <v>269</v>
      </c>
      <c r="K7" s="497"/>
      <c r="L7" s="497" t="s">
        <v>270</v>
      </c>
      <c r="M7" s="497"/>
      <c r="N7" s="497" t="s">
        <v>271</v>
      </c>
      <c r="O7" s="497"/>
      <c r="P7" s="497" t="s">
        <v>272</v>
      </c>
      <c r="Q7" s="497"/>
      <c r="R7" s="497" t="s">
        <v>273</v>
      </c>
      <c r="S7" s="497"/>
      <c r="T7" s="497" t="s">
        <v>274</v>
      </c>
      <c r="U7" s="497"/>
      <c r="V7" s="497" t="s">
        <v>275</v>
      </c>
      <c r="W7" s="497"/>
      <c r="X7" s="497" t="s">
        <v>276</v>
      </c>
      <c r="Y7" s="497"/>
      <c r="Z7" s="497" t="s">
        <v>277</v>
      </c>
      <c r="AA7" s="497"/>
      <c r="AB7" s="497" t="s">
        <v>278</v>
      </c>
      <c r="AC7" s="497"/>
      <c r="AD7" s="497" t="s">
        <v>279</v>
      </c>
      <c r="AE7" s="497"/>
      <c r="AF7" s="497" t="s">
        <v>280</v>
      </c>
      <c r="AG7" s="497"/>
      <c r="AH7" s="497" t="s">
        <v>281</v>
      </c>
      <c r="AI7" s="497"/>
      <c r="AJ7" s="497" t="s">
        <v>282</v>
      </c>
      <c r="AK7" s="497"/>
      <c r="AL7" s="497" t="s">
        <v>283</v>
      </c>
      <c r="AM7" s="497"/>
      <c r="AN7" s="497" t="s">
        <v>284</v>
      </c>
      <c r="AO7" s="497"/>
      <c r="AP7" s="497" t="s">
        <v>285</v>
      </c>
      <c r="AQ7" s="497"/>
      <c r="AR7" s="497" t="s">
        <v>286</v>
      </c>
      <c r="AS7" s="497"/>
      <c r="AT7" s="497" t="s">
        <v>287</v>
      </c>
      <c r="AU7" s="497"/>
      <c r="AV7" s="497" t="s">
        <v>288</v>
      </c>
      <c r="AW7" s="497"/>
    </row>
    <row r="8" spans="1:49" ht="22.5" customHeight="1">
      <c r="A8" s="496"/>
      <c r="B8" s="497"/>
      <c r="C8" s="381" t="s">
        <v>19</v>
      </c>
      <c r="D8" s="380" t="s">
        <v>42</v>
      </c>
      <c r="E8" s="497"/>
      <c r="F8" s="497"/>
      <c r="G8" s="382" t="s">
        <v>32</v>
      </c>
      <c r="H8" s="382" t="s">
        <v>33</v>
      </c>
      <c r="I8" s="501"/>
      <c r="J8" s="380" t="s">
        <v>32</v>
      </c>
      <c r="K8" s="380" t="s">
        <v>33</v>
      </c>
      <c r="L8" s="380" t="s">
        <v>32</v>
      </c>
      <c r="M8" s="380" t="s">
        <v>33</v>
      </c>
      <c r="N8" s="380" t="s">
        <v>32</v>
      </c>
      <c r="O8" s="380" t="s">
        <v>33</v>
      </c>
      <c r="P8" s="380" t="s">
        <v>32</v>
      </c>
      <c r="Q8" s="380" t="s">
        <v>33</v>
      </c>
      <c r="R8" s="380" t="s">
        <v>32</v>
      </c>
      <c r="S8" s="380" t="s">
        <v>33</v>
      </c>
      <c r="T8" s="380" t="s">
        <v>32</v>
      </c>
      <c r="U8" s="380" t="s">
        <v>33</v>
      </c>
      <c r="V8" s="380" t="s">
        <v>32</v>
      </c>
      <c r="W8" s="380" t="s">
        <v>33</v>
      </c>
      <c r="X8" s="380" t="s">
        <v>32</v>
      </c>
      <c r="Y8" s="380" t="s">
        <v>33</v>
      </c>
      <c r="Z8" s="380" t="s">
        <v>32</v>
      </c>
      <c r="AA8" s="380" t="s">
        <v>33</v>
      </c>
      <c r="AB8" s="380" t="s">
        <v>32</v>
      </c>
      <c r="AC8" s="380" t="s">
        <v>33</v>
      </c>
      <c r="AD8" s="380" t="s">
        <v>32</v>
      </c>
      <c r="AE8" s="380" t="s">
        <v>33</v>
      </c>
      <c r="AF8" s="380" t="s">
        <v>32</v>
      </c>
      <c r="AG8" s="380" t="s">
        <v>33</v>
      </c>
      <c r="AH8" s="380" t="s">
        <v>32</v>
      </c>
      <c r="AI8" s="380" t="s">
        <v>33</v>
      </c>
      <c r="AJ8" s="380" t="s">
        <v>32</v>
      </c>
      <c r="AK8" s="380" t="s">
        <v>33</v>
      </c>
      <c r="AL8" s="380" t="s">
        <v>32</v>
      </c>
      <c r="AM8" s="380" t="s">
        <v>33</v>
      </c>
      <c r="AN8" s="380" t="s">
        <v>32</v>
      </c>
      <c r="AO8" s="380" t="s">
        <v>33</v>
      </c>
      <c r="AP8" s="380" t="s">
        <v>32</v>
      </c>
      <c r="AQ8" s="380" t="s">
        <v>33</v>
      </c>
      <c r="AR8" s="380" t="s">
        <v>32</v>
      </c>
      <c r="AS8" s="380" t="s">
        <v>33</v>
      </c>
      <c r="AT8" s="380" t="s">
        <v>32</v>
      </c>
      <c r="AU8" s="380" t="s">
        <v>33</v>
      </c>
      <c r="AV8" s="380" t="s">
        <v>32</v>
      </c>
      <c r="AW8" s="380" t="s">
        <v>33</v>
      </c>
    </row>
    <row r="9" spans="1:49" s="384" customFormat="1" ht="8.25" customHeight="1">
      <c r="A9" s="383">
        <v>1</v>
      </c>
      <c r="B9" s="383">
        <v>2</v>
      </c>
      <c r="C9" s="383">
        <v>3</v>
      </c>
      <c r="D9" s="383">
        <v>4</v>
      </c>
      <c r="E9" s="383">
        <v>5</v>
      </c>
      <c r="F9" s="383">
        <v>6</v>
      </c>
      <c r="G9" s="383">
        <v>7</v>
      </c>
      <c r="H9" s="383">
        <v>8</v>
      </c>
      <c r="I9" s="383">
        <v>9</v>
      </c>
      <c r="J9" s="383">
        <v>10</v>
      </c>
      <c r="K9" s="383">
        <v>11</v>
      </c>
      <c r="L9" s="383">
        <v>12</v>
      </c>
      <c r="M9" s="383">
        <v>13</v>
      </c>
      <c r="N9" s="383">
        <v>14</v>
      </c>
      <c r="O9" s="383">
        <v>15</v>
      </c>
      <c r="P9" s="383">
        <v>16</v>
      </c>
      <c r="Q9" s="383">
        <v>17</v>
      </c>
      <c r="R9" s="383">
        <v>18</v>
      </c>
      <c r="S9" s="383">
        <v>19</v>
      </c>
      <c r="T9" s="383">
        <v>20</v>
      </c>
      <c r="U9" s="383">
        <v>21</v>
      </c>
      <c r="V9" s="383">
        <v>22</v>
      </c>
      <c r="W9" s="383">
        <v>23</v>
      </c>
      <c r="X9" s="383">
        <v>24</v>
      </c>
      <c r="Y9" s="383">
        <v>25</v>
      </c>
      <c r="Z9" s="383">
        <v>26</v>
      </c>
      <c r="AA9" s="383">
        <v>27</v>
      </c>
      <c r="AB9" s="383">
        <v>28</v>
      </c>
      <c r="AC9" s="383">
        <v>29</v>
      </c>
      <c r="AD9" s="383">
        <v>30</v>
      </c>
      <c r="AE9" s="383">
        <v>31</v>
      </c>
      <c r="AF9" s="383">
        <v>32</v>
      </c>
      <c r="AG9" s="383">
        <v>33</v>
      </c>
      <c r="AH9" s="383">
        <v>34</v>
      </c>
      <c r="AI9" s="383">
        <v>35</v>
      </c>
      <c r="AJ9" s="383">
        <v>36</v>
      </c>
      <c r="AK9" s="383">
        <v>37</v>
      </c>
      <c r="AL9" s="383">
        <v>38</v>
      </c>
      <c r="AM9" s="383">
        <v>39</v>
      </c>
      <c r="AN9" s="383">
        <v>40</v>
      </c>
      <c r="AO9" s="383">
        <v>41</v>
      </c>
      <c r="AP9" s="383">
        <v>42</v>
      </c>
      <c r="AQ9" s="383">
        <v>43</v>
      </c>
      <c r="AR9" s="383">
        <v>44</v>
      </c>
      <c r="AS9" s="383">
        <v>45</v>
      </c>
      <c r="AT9" s="383">
        <v>46</v>
      </c>
      <c r="AU9" s="383">
        <v>47</v>
      </c>
      <c r="AV9" s="383">
        <v>48</v>
      </c>
      <c r="AW9" s="383">
        <v>49</v>
      </c>
    </row>
    <row r="10" spans="1:49" s="392" customFormat="1" ht="12" customHeight="1">
      <c r="A10" s="63" t="str">
        <f t="array" ref="A10">IF(C10&lt;&gt;0,SUM(($C10:C$23&lt;&gt;0)*1),"")</f>
        <v/>
      </c>
      <c r="B10" s="385"/>
      <c r="C10" s="386"/>
      <c r="D10" s="385"/>
      <c r="E10" s="387" t="s">
        <v>239</v>
      </c>
      <c r="F10" s="388"/>
      <c r="G10" s="389"/>
      <c r="H10" s="389"/>
      <c r="I10" s="390"/>
      <c r="J10" s="391">
        <f ca="1">'01-03'!J65</f>
        <v>2282443500</v>
      </c>
      <c r="K10" s="391">
        <f ca="1">'01-03'!K65</f>
        <v>0</v>
      </c>
      <c r="L10" s="391">
        <f ca="1">'01-03'!L65</f>
        <v>380011000</v>
      </c>
      <c r="M10" s="391">
        <f ca="1">'01-03'!M65</f>
        <v>0</v>
      </c>
      <c r="N10" s="391">
        <f ca="1">'01-03'!N65</f>
        <v>2762190</v>
      </c>
      <c r="O10" s="391">
        <f ca="1">'01-03'!O65</f>
        <v>0</v>
      </c>
      <c r="P10" s="391">
        <f ca="1">'01-03'!P65</f>
        <v>0</v>
      </c>
      <c r="Q10" s="391">
        <f ca="1">'01-03'!Q65</f>
        <v>0</v>
      </c>
      <c r="R10" s="391">
        <f ca="1">'01-03'!R65</f>
        <v>0</v>
      </c>
      <c r="S10" s="391">
        <f ca="1">'01-03'!S65</f>
        <v>0</v>
      </c>
      <c r="T10" s="391">
        <f ca="1">'01-03'!T65</f>
        <v>1180933400</v>
      </c>
      <c r="U10" s="391">
        <f ca="1">'01-03'!U65</f>
        <v>0</v>
      </c>
      <c r="V10" s="391">
        <f ca="1">'01-03'!V65</f>
        <v>0</v>
      </c>
      <c r="W10" s="391">
        <f ca="1">'01-03'!W65</f>
        <v>0</v>
      </c>
      <c r="X10" s="391">
        <f ca="1">'01-03'!X65</f>
        <v>0</v>
      </c>
      <c r="Y10" s="391">
        <f ca="1">'01-03'!Y65</f>
        <v>0</v>
      </c>
      <c r="Z10" s="391">
        <f ca="1">'01-03'!Z65</f>
        <v>0</v>
      </c>
      <c r="AA10" s="391">
        <f ca="1">'01-03'!AA65</f>
        <v>0</v>
      </c>
      <c r="AB10" s="391">
        <f ca="1">'01-03'!AB65</f>
        <v>0</v>
      </c>
      <c r="AC10" s="391">
        <f ca="1">'01-03'!AC65</f>
        <v>0</v>
      </c>
      <c r="AD10" s="391">
        <f ca="1">'01-03'!AD65</f>
        <v>0</v>
      </c>
      <c r="AE10" s="391">
        <f ca="1">'01-03'!AE65</f>
        <v>4000000000</v>
      </c>
      <c r="AF10" s="391">
        <f ca="1">'01-03'!AF65</f>
        <v>124728000</v>
      </c>
      <c r="AG10" s="391">
        <f ca="1">'01-03'!AG65</f>
        <v>0</v>
      </c>
      <c r="AH10" s="391">
        <f ca="1">'01-03'!AH65</f>
        <v>29121910</v>
      </c>
      <c r="AI10" s="391">
        <f ca="1">'01-03'!AI65</f>
        <v>0</v>
      </c>
      <c r="AJ10" s="391">
        <f ca="1">'01-03'!AJ65</f>
        <v>0</v>
      </c>
      <c r="AK10" s="391">
        <f ca="1">'01-03'!AK65</f>
        <v>0</v>
      </c>
      <c r="AL10" s="391">
        <f ca="1">'01-03'!AL65</f>
        <v>0</v>
      </c>
      <c r="AM10" s="391">
        <f ca="1">'01-03'!AM65</f>
        <v>0</v>
      </c>
      <c r="AN10" s="391">
        <f ca="1">'01-03'!AN65</f>
        <v>0</v>
      </c>
      <c r="AO10" s="391">
        <f ca="1">'01-03'!AO65</f>
        <v>0</v>
      </c>
      <c r="AP10" s="391">
        <f ca="1">'01-03'!AP65</f>
        <v>0</v>
      </c>
      <c r="AQ10" s="391">
        <f ca="1">'01-03'!AQ65</f>
        <v>0</v>
      </c>
      <c r="AR10" s="391">
        <f ca="1">'01-03'!AR65</f>
        <v>0</v>
      </c>
      <c r="AS10" s="391">
        <f ca="1">'01-03'!AS65</f>
        <v>0</v>
      </c>
      <c r="AT10" s="391">
        <f ca="1">'01-03'!AT65</f>
        <v>0</v>
      </c>
      <c r="AU10" s="391">
        <f ca="1">'01-03'!AU65</f>
        <v>0</v>
      </c>
      <c r="AV10" s="391">
        <f ca="1">'01-03'!AV65</f>
        <v>0</v>
      </c>
      <c r="AW10" s="391">
        <f ca="1">'01-03'!AW65</f>
        <v>0</v>
      </c>
    </row>
    <row r="11" spans="1:49" s="392" customFormat="1" ht="12" customHeight="1">
      <c r="A11" s="63">
        <f t="array" aca="1" ref="A11" ca="1">IF(C11&lt;&gt;0,SUM(($C$11:C11&lt;&gt;0)*1),"")</f>
        <v>1</v>
      </c>
      <c r="B11" s="393">
        <f ca="1">IF(ROWS($1:1)&gt;COUNT(Dong7),"",OFFSET(TH!C$1,SMALL(Dong7,ROWS($1:1)),))</f>
        <v>41743</v>
      </c>
      <c r="C11" s="393" t="str">
        <f ca="1">IF(ROWS($1:1)&gt;COUNT(Dong7),"",OFFSET(TH!D$1,SMALL(Dong7,ROWS($1:1)),))</f>
        <v>CTGS</v>
      </c>
      <c r="D11" s="393">
        <f ca="1">IF(ROWS($1:1)&gt;COUNT(Dong7),"",OFFSET(TH!E$1,SMALL(Dong7,ROWS($1:1)),))</f>
        <v>41743</v>
      </c>
      <c r="E11" s="443" t="str">
        <f ca="1">IF(ROWS($1:1)&gt;COUNT(Dong7),"",OFFSET(TH!F$1,SMALL(Dong7,ROWS($1:1)),))</f>
        <v>Lập báo cáo dự án - Trà Vinh</v>
      </c>
      <c r="F11" s="444">
        <f ca="1">IF(ROWS($1:1)&gt;COUNT(Dong7),"",OFFSET(TH!I$1,SMALL(Dong7,ROWS($1:1)),))</f>
        <v>55000000</v>
      </c>
      <c r="G11" s="446" t="str">
        <f ca="1">IF(ROWS($1:1)&gt;COUNT(Dong7),"",OFFSET(TH!J$1,SMALL(Dong7,ROWS($1:1)),))</f>
        <v>2412</v>
      </c>
      <c r="H11" s="446" t="str">
        <f ca="1">IF(ROWS($1:1)&gt;COUNT(Dong7),"",OFFSET(TH!K$1,SMALL(Dong7,ROWS($1:1)),))</f>
        <v>331</v>
      </c>
      <c r="I11" s="63">
        <f t="shared" ref="I11:I12" ca="1" si="0">A11</f>
        <v>1</v>
      </c>
      <c r="J11" s="395">
        <f t="shared" ref="J11:J37" ca="1" si="1">IF($G11="1111",$F11,0)</f>
        <v>0</v>
      </c>
      <c r="K11" s="395">
        <f t="shared" ref="K11:K37" ca="1" si="2">IF($H11="1111",$F11,0)</f>
        <v>0</v>
      </c>
      <c r="L11" s="395">
        <f t="shared" ref="L11:L37" ca="1" si="3">IF($G11="1121",$F11,0)</f>
        <v>0</v>
      </c>
      <c r="M11" s="395">
        <f t="shared" ref="M11:M37" ca="1" si="4">IF($H11="1121",$F11,0)</f>
        <v>0</v>
      </c>
      <c r="N11" s="395">
        <f t="shared" ref="N11:N37" ca="1" si="5">IF($G11="1331",$F11,0)</f>
        <v>0</v>
      </c>
      <c r="O11" s="395">
        <f t="shared" ref="O11:O37" ca="1" si="6">IF($H11="1331",$F11,0)</f>
        <v>0</v>
      </c>
      <c r="P11" s="395">
        <f t="shared" ref="P11:P37" ca="1" si="7">IF($G11="1388",$F11,0)</f>
        <v>0</v>
      </c>
      <c r="Q11" s="395">
        <f t="shared" ref="Q11:Q37" ca="1" si="8">IF($H11="1388",$F11,0)</f>
        <v>0</v>
      </c>
      <c r="R11" s="395">
        <f ca="1">IF($G11="2412",$F11,0)</f>
        <v>55000000</v>
      </c>
      <c r="S11" s="395">
        <f ca="1">IF($H11="2412",$F11,0)</f>
        <v>0</v>
      </c>
      <c r="T11" s="395">
        <f t="shared" ref="T11:T37" ca="1" si="9">IF($G11="331",$F11,0)</f>
        <v>0</v>
      </c>
      <c r="U11" s="395">
        <f t="shared" ref="U11:U37" ca="1" si="10">IF($H11="331",$F11,0)</f>
        <v>55000000</v>
      </c>
      <c r="V11" s="395">
        <f t="shared" ref="V11:V37" ca="1" si="11">IF($G11="3334",$F11,0)</f>
        <v>0</v>
      </c>
      <c r="W11" s="395">
        <f t="shared" ref="W11:W37" ca="1" si="12">IF($H11="3334",$F11,0)</f>
        <v>0</v>
      </c>
      <c r="X11" s="395">
        <f t="shared" ref="X11:X37" ca="1" si="13">IF($G11="33382",$F11,0)</f>
        <v>0</v>
      </c>
      <c r="Y11" s="395">
        <f t="shared" ref="Y11:Y37" ca="1" si="14">IF($H11="33382",$F11,0)</f>
        <v>0</v>
      </c>
      <c r="Z11" s="395">
        <f t="shared" ref="Z11:Z37" ca="1" si="15">IF($G11="3388",$F11,0)</f>
        <v>0</v>
      </c>
      <c r="AA11" s="395">
        <f t="shared" ref="AA11:AA37" ca="1" si="16">IF($H11="3388",$F11,0)</f>
        <v>0</v>
      </c>
      <c r="AB11" s="395">
        <f t="shared" ref="AB11:AB37" ca="1" si="17">IF($G11="3411",$F11,0)</f>
        <v>0</v>
      </c>
      <c r="AC11" s="395">
        <f t="shared" ref="AC11:AC37" ca="1" si="18">IF($H11="3411",$F11,0)</f>
        <v>0</v>
      </c>
      <c r="AD11" s="395">
        <f t="shared" ref="AD11:AD37" ca="1" si="19">IF($G11="4111",$F11,0)</f>
        <v>0</v>
      </c>
      <c r="AE11" s="395">
        <f t="shared" ref="AE11:AE37" ca="1" si="20">IF($H11="4111",$F11,0)</f>
        <v>0</v>
      </c>
      <c r="AF11" s="395">
        <f t="shared" ref="AF11:AF37" ca="1" si="21">IF($G11="4211",$F11,0)</f>
        <v>0</v>
      </c>
      <c r="AG11" s="395">
        <f t="shared" ref="AG11:AG37" ca="1" si="22">IF($H11="4211",$F11,0)</f>
        <v>0</v>
      </c>
      <c r="AH11" s="395">
        <f t="shared" ref="AH11:AH37" ca="1" si="23">IF($G11="4212",$F11,0)</f>
        <v>0</v>
      </c>
      <c r="AI11" s="395">
        <f t="shared" ref="AI11:AI37" ca="1" si="24">IF($H11="4212",$F11,0)</f>
        <v>0</v>
      </c>
      <c r="AJ11" s="395">
        <f t="shared" ref="AJ11:AJ37" ca="1" si="25">IF($G11="515",$F11,0)</f>
        <v>0</v>
      </c>
      <c r="AK11" s="395">
        <f t="shared" ref="AK11:AK37" ca="1" si="26">IF($H11="515",$F11,0)</f>
        <v>0</v>
      </c>
      <c r="AL11" s="395">
        <f t="shared" ref="AL11:AL37" ca="1" si="27">IF($G11="635",$F11,0)</f>
        <v>0</v>
      </c>
      <c r="AM11" s="395">
        <f t="shared" ref="AM11:AM37" ca="1" si="28">IF($H11="635",$F11,0)</f>
        <v>0</v>
      </c>
      <c r="AN11" s="395">
        <f t="shared" ref="AN11:AN37" ca="1" si="29">IF($G11="642",$F11,0)</f>
        <v>0</v>
      </c>
      <c r="AO11" s="395">
        <f t="shared" ref="AO11:AO37" ca="1" si="30">IF($H11="642",$F11,0)</f>
        <v>0</v>
      </c>
      <c r="AP11" s="395">
        <f t="shared" ref="AP11:AP37" ca="1" si="31">IF($G11="711",$F11,0)</f>
        <v>0</v>
      </c>
      <c r="AQ11" s="395">
        <f t="shared" ref="AQ11:AQ37" ca="1" si="32">IF($H11="711",$F11,0)</f>
        <v>0</v>
      </c>
      <c r="AR11" s="395">
        <f t="shared" ref="AR11:AR37" ca="1" si="33">IF($G11="811",$F11,0)</f>
        <v>0</v>
      </c>
      <c r="AS11" s="395">
        <f t="shared" ref="AS11:AS37" ca="1" si="34">IF($H11="811",$F11,0)</f>
        <v>0</v>
      </c>
      <c r="AT11" s="395">
        <f t="shared" ref="AT11:AT37" ca="1" si="35">IF($G11="821",$F11,0)</f>
        <v>0</v>
      </c>
      <c r="AU11" s="395">
        <f t="shared" ref="AU11:AU37" ca="1" si="36">IF($H11="821",$F11,0)</f>
        <v>0</v>
      </c>
      <c r="AV11" s="395">
        <f t="shared" ref="AV11:AV37" ca="1" si="37">IF($G11="911",$F11,0)</f>
        <v>0</v>
      </c>
      <c r="AW11" s="395">
        <f t="shared" ref="AW11:AW37" ca="1" si="38">IF($H11="911",$F11,0)</f>
        <v>0</v>
      </c>
    </row>
    <row r="12" spans="1:49" s="392" customFormat="1" ht="12" customHeight="1">
      <c r="A12" s="63">
        <f t="array" aca="1" ref="A12" ca="1">IF(C12&lt;&gt;0,SUM(($C$11:C12&lt;&gt;0)*1),"")</f>
        <v>2</v>
      </c>
      <c r="B12" s="393">
        <f ca="1">IF(ROWS($1:2)&gt;COUNT(Dong7),"",OFFSET(TH!C$1,SMALL(Dong7,ROWS($1:2)),))</f>
        <v>41743</v>
      </c>
      <c r="C12" s="393" t="str">
        <f ca="1">IF(ROWS($1:2)&gt;COUNT(Dong7),"",OFFSET(TH!D$1,SMALL(Dong7,ROWS($1:2)),))</f>
        <v>CTGS</v>
      </c>
      <c r="D12" s="393">
        <f ca="1">IF(ROWS($1:2)&gt;COUNT(Dong7),"",OFFSET(TH!E$1,SMALL(Dong7,ROWS($1:2)),))</f>
        <v>41743</v>
      </c>
      <c r="E12" s="443" t="str">
        <f ca="1">IF(ROWS($1:2)&gt;COUNT(Dong7),"",OFFSET(TH!F$1,SMALL(Dong7,ROWS($1:2)),))</f>
        <v>VAT Lập báo cáo dự án - Trà Vinh</v>
      </c>
      <c r="F12" s="444">
        <f ca="1">IF(ROWS($1:2)&gt;COUNT(Dong7),"",OFFSET(TH!I$1,SMALL(Dong7,ROWS($1:2)),))</f>
        <v>5500000</v>
      </c>
      <c r="G12" s="456" t="str">
        <f ca="1">IF(ROWS($1:2)&gt;COUNT(Dong7),"",OFFSET(TH!J$1,SMALL(Dong7,ROWS($1:2)),))</f>
        <v>1331</v>
      </c>
      <c r="H12" s="456" t="str">
        <f ca="1">IF(ROWS($1:2)&gt;COUNT(Dong7),"",OFFSET(TH!K$1,SMALL(Dong7,ROWS($1:2)),))</f>
        <v>331</v>
      </c>
      <c r="I12" s="63">
        <f t="shared" ca="1" si="0"/>
        <v>2</v>
      </c>
      <c r="J12" s="395">
        <f t="shared" ca="1" si="1"/>
        <v>0</v>
      </c>
      <c r="K12" s="395">
        <f t="shared" ca="1" si="2"/>
        <v>0</v>
      </c>
      <c r="L12" s="395">
        <f t="shared" ca="1" si="3"/>
        <v>0</v>
      </c>
      <c r="M12" s="395">
        <f t="shared" ca="1" si="4"/>
        <v>0</v>
      </c>
      <c r="N12" s="395">
        <f t="shared" ca="1" si="5"/>
        <v>5500000</v>
      </c>
      <c r="O12" s="395">
        <f t="shared" ca="1" si="6"/>
        <v>0</v>
      </c>
      <c r="P12" s="395">
        <f t="shared" ca="1" si="7"/>
        <v>0</v>
      </c>
      <c r="Q12" s="395">
        <f t="shared" ca="1" si="8"/>
        <v>0</v>
      </c>
      <c r="R12" s="395">
        <f t="shared" ref="R12:R37" ca="1" si="39">IF($G12="2412",$F12,0)</f>
        <v>0</v>
      </c>
      <c r="S12" s="395">
        <f t="shared" ref="S12:S37" ca="1" si="40">IF($H12="2412",$F12,0)</f>
        <v>0</v>
      </c>
      <c r="T12" s="395">
        <f t="shared" ca="1" si="9"/>
        <v>0</v>
      </c>
      <c r="U12" s="395">
        <f t="shared" ca="1" si="10"/>
        <v>5500000</v>
      </c>
      <c r="V12" s="395">
        <f t="shared" ca="1" si="11"/>
        <v>0</v>
      </c>
      <c r="W12" s="395">
        <f t="shared" ca="1" si="12"/>
        <v>0</v>
      </c>
      <c r="X12" s="395">
        <f t="shared" ca="1" si="13"/>
        <v>0</v>
      </c>
      <c r="Y12" s="395">
        <f t="shared" ca="1" si="14"/>
        <v>0</v>
      </c>
      <c r="Z12" s="395">
        <f t="shared" ca="1" si="15"/>
        <v>0</v>
      </c>
      <c r="AA12" s="395">
        <f t="shared" ca="1" si="16"/>
        <v>0</v>
      </c>
      <c r="AB12" s="395">
        <f t="shared" ca="1" si="17"/>
        <v>0</v>
      </c>
      <c r="AC12" s="395">
        <f t="shared" ca="1" si="18"/>
        <v>0</v>
      </c>
      <c r="AD12" s="395">
        <f t="shared" ca="1" si="19"/>
        <v>0</v>
      </c>
      <c r="AE12" s="395">
        <f t="shared" ca="1" si="20"/>
        <v>0</v>
      </c>
      <c r="AF12" s="395">
        <f t="shared" ca="1" si="21"/>
        <v>0</v>
      </c>
      <c r="AG12" s="395">
        <f t="shared" ca="1" si="22"/>
        <v>0</v>
      </c>
      <c r="AH12" s="395">
        <f t="shared" ca="1" si="23"/>
        <v>0</v>
      </c>
      <c r="AI12" s="395">
        <f t="shared" ca="1" si="24"/>
        <v>0</v>
      </c>
      <c r="AJ12" s="395">
        <f t="shared" ca="1" si="25"/>
        <v>0</v>
      </c>
      <c r="AK12" s="395">
        <f t="shared" ca="1" si="26"/>
        <v>0</v>
      </c>
      <c r="AL12" s="395">
        <f t="shared" ca="1" si="27"/>
        <v>0</v>
      </c>
      <c r="AM12" s="395">
        <f t="shared" ca="1" si="28"/>
        <v>0</v>
      </c>
      <c r="AN12" s="395">
        <f t="shared" ca="1" si="29"/>
        <v>0</v>
      </c>
      <c r="AO12" s="395">
        <f t="shared" ca="1" si="30"/>
        <v>0</v>
      </c>
      <c r="AP12" s="395">
        <f t="shared" ca="1" si="31"/>
        <v>0</v>
      </c>
      <c r="AQ12" s="395">
        <f t="shared" ca="1" si="32"/>
        <v>0</v>
      </c>
      <c r="AR12" s="395">
        <f t="shared" ca="1" si="33"/>
        <v>0</v>
      </c>
      <c r="AS12" s="395">
        <f t="shared" ca="1" si="34"/>
        <v>0</v>
      </c>
      <c r="AT12" s="395">
        <f t="shared" ca="1" si="35"/>
        <v>0</v>
      </c>
      <c r="AU12" s="395">
        <f t="shared" ca="1" si="36"/>
        <v>0</v>
      </c>
      <c r="AV12" s="395">
        <f t="shared" ca="1" si="37"/>
        <v>0</v>
      </c>
      <c r="AW12" s="395">
        <f t="shared" ca="1" si="38"/>
        <v>0</v>
      </c>
    </row>
    <row r="13" spans="1:49" s="392" customFormat="1" ht="12" customHeight="1">
      <c r="A13" s="63">
        <f t="array" aca="1" ref="A13" ca="1">IF(C13&lt;&gt;0,SUM(($C$11:C13&lt;&gt;0)*1),"")</f>
        <v>3</v>
      </c>
      <c r="B13" s="393">
        <f ca="1">IF(ROWS($1:3)&gt;COUNT(Dong7),"",OFFSET(TH!C$1,SMALL(Dong7,ROWS($1:3)),))</f>
        <v>41775</v>
      </c>
      <c r="C13" s="393" t="str">
        <f ca="1">IF(ROWS($1:3)&gt;COUNT(Dong7),"",OFFSET(TH!D$1,SMALL(Dong7,ROWS($1:3)),))</f>
        <v>C01</v>
      </c>
      <c r="D13" s="393">
        <f ca="1">IF(ROWS($1:3)&gt;COUNT(Dong7),"",OFFSET(TH!E$1,SMALL(Dong7,ROWS($1:3)),))</f>
        <v>41775</v>
      </c>
      <c r="E13" s="443" t="str">
        <f ca="1">IF(ROWS($1:3)&gt;COUNT(Dong7),"",OFFSET(TH!F$1,SMALL(Dong7,ROWS($1:3)),))</f>
        <v>Hoàn trả tiền mượn chuyển khoản</v>
      </c>
      <c r="F13" s="444">
        <f ca="1">IF(ROWS($1:3)&gt;COUNT(Dong7),"",OFFSET(TH!I$1,SMALL(Dong7,ROWS($1:3)),))</f>
        <v>33000000</v>
      </c>
      <c r="G13" s="456" t="str">
        <f ca="1">IF(ROWS($1:3)&gt;COUNT(Dong7),"",OFFSET(TH!J$1,SMALL(Dong7,ROWS($1:3)),))</f>
        <v>3388</v>
      </c>
      <c r="H13" s="456" t="str">
        <f ca="1">IF(ROWS($1:3)&gt;COUNT(Dong7),"",OFFSET(TH!K$1,SMALL(Dong7,ROWS($1:3)),))</f>
        <v>1111</v>
      </c>
      <c r="I13" s="63">
        <f ca="1">A13</f>
        <v>3</v>
      </c>
      <c r="J13" s="395">
        <f t="shared" ca="1" si="1"/>
        <v>0</v>
      </c>
      <c r="K13" s="395">
        <f t="shared" ca="1" si="2"/>
        <v>33000000</v>
      </c>
      <c r="L13" s="395">
        <f t="shared" ca="1" si="3"/>
        <v>0</v>
      </c>
      <c r="M13" s="395">
        <f t="shared" ca="1" si="4"/>
        <v>0</v>
      </c>
      <c r="N13" s="395">
        <f t="shared" ca="1" si="5"/>
        <v>0</v>
      </c>
      <c r="O13" s="395">
        <f t="shared" ca="1" si="6"/>
        <v>0</v>
      </c>
      <c r="P13" s="395">
        <f t="shared" ca="1" si="7"/>
        <v>0</v>
      </c>
      <c r="Q13" s="395">
        <f t="shared" ca="1" si="8"/>
        <v>0</v>
      </c>
      <c r="R13" s="395">
        <f t="shared" ca="1" si="39"/>
        <v>0</v>
      </c>
      <c r="S13" s="395">
        <f t="shared" ca="1" si="40"/>
        <v>0</v>
      </c>
      <c r="T13" s="395">
        <f t="shared" ca="1" si="9"/>
        <v>0</v>
      </c>
      <c r="U13" s="395">
        <f t="shared" ca="1" si="10"/>
        <v>0</v>
      </c>
      <c r="V13" s="395">
        <f t="shared" ca="1" si="11"/>
        <v>0</v>
      </c>
      <c r="W13" s="395">
        <f t="shared" ca="1" si="12"/>
        <v>0</v>
      </c>
      <c r="X13" s="395">
        <f t="shared" ca="1" si="13"/>
        <v>0</v>
      </c>
      <c r="Y13" s="395">
        <f t="shared" ca="1" si="14"/>
        <v>0</v>
      </c>
      <c r="Z13" s="395">
        <f t="shared" ca="1" si="15"/>
        <v>33000000</v>
      </c>
      <c r="AA13" s="395">
        <f t="shared" ca="1" si="16"/>
        <v>0</v>
      </c>
      <c r="AB13" s="395">
        <f t="shared" ca="1" si="17"/>
        <v>0</v>
      </c>
      <c r="AC13" s="395">
        <f t="shared" ca="1" si="18"/>
        <v>0</v>
      </c>
      <c r="AD13" s="395">
        <f t="shared" ca="1" si="19"/>
        <v>0</v>
      </c>
      <c r="AE13" s="395">
        <f t="shared" ca="1" si="20"/>
        <v>0</v>
      </c>
      <c r="AF13" s="395">
        <f t="shared" ca="1" si="21"/>
        <v>0</v>
      </c>
      <c r="AG13" s="395">
        <f t="shared" ca="1" si="22"/>
        <v>0</v>
      </c>
      <c r="AH13" s="395">
        <f t="shared" ca="1" si="23"/>
        <v>0</v>
      </c>
      <c r="AI13" s="395">
        <f t="shared" ca="1" si="24"/>
        <v>0</v>
      </c>
      <c r="AJ13" s="395">
        <f t="shared" ca="1" si="25"/>
        <v>0</v>
      </c>
      <c r="AK13" s="395">
        <f t="shared" ca="1" si="26"/>
        <v>0</v>
      </c>
      <c r="AL13" s="395">
        <f t="shared" ca="1" si="27"/>
        <v>0</v>
      </c>
      <c r="AM13" s="395">
        <f t="shared" ca="1" si="28"/>
        <v>0</v>
      </c>
      <c r="AN13" s="395">
        <f t="shared" ca="1" si="29"/>
        <v>0</v>
      </c>
      <c r="AO13" s="395">
        <f t="shared" ca="1" si="30"/>
        <v>0</v>
      </c>
      <c r="AP13" s="395">
        <f t="shared" ca="1" si="31"/>
        <v>0</v>
      </c>
      <c r="AQ13" s="395">
        <f t="shared" ca="1" si="32"/>
        <v>0</v>
      </c>
      <c r="AR13" s="395">
        <f t="shared" ca="1" si="33"/>
        <v>0</v>
      </c>
      <c r="AS13" s="395">
        <f t="shared" ca="1" si="34"/>
        <v>0</v>
      </c>
      <c r="AT13" s="395">
        <f t="shared" ca="1" si="35"/>
        <v>0</v>
      </c>
      <c r="AU13" s="395">
        <f t="shared" ca="1" si="36"/>
        <v>0</v>
      </c>
      <c r="AV13" s="395">
        <f t="shared" ca="1" si="37"/>
        <v>0</v>
      </c>
      <c r="AW13" s="395">
        <f t="shared" ca="1" si="38"/>
        <v>0</v>
      </c>
    </row>
    <row r="14" spans="1:49" s="392" customFormat="1" ht="12" customHeight="1">
      <c r="A14" s="63">
        <f t="array" aca="1" ref="A14" ca="1">IF(C14&lt;&gt;0,SUM(($C$11:C14&lt;&gt;0)*1),"")</f>
        <v>4</v>
      </c>
      <c r="B14" s="393">
        <f ca="1">IF(ROWS($1:4)&gt;COUNT(Dong7),"",OFFSET(TH!C$1,SMALL(Dong7,ROWS($1:4)),))</f>
        <v>41775</v>
      </c>
      <c r="C14" s="393" t="str">
        <f ca="1">IF(ROWS($1:4)&gt;COUNT(Dong7),"",OFFSET(TH!D$1,SMALL(Dong7,ROWS($1:4)),))</f>
        <v>GBC</v>
      </c>
      <c r="D14" s="393">
        <f ca="1">IF(ROWS($1:4)&gt;COUNT(Dong7),"",OFFSET(TH!E$1,SMALL(Dong7,ROWS($1:4)),))</f>
        <v>41775</v>
      </c>
      <c r="E14" s="443" t="str">
        <f ca="1">IF(ROWS($1:4)&gt;COUNT(Dong7),"",OFFSET(TH!F$1,SMALL(Dong7,ROWS($1:4)),))</f>
        <v>An Lạc LA- Ứng vốn</v>
      </c>
      <c r="F14" s="444">
        <f ca="1">IF(ROWS($1:4)&gt;COUNT(Dong7),"",OFFSET(TH!I$1,SMALL(Dong7,ROWS($1:4)),))</f>
        <v>33000000</v>
      </c>
      <c r="G14" s="456" t="str">
        <f ca="1">IF(ROWS($1:4)&gt;COUNT(Dong7),"",OFFSET(TH!J$1,SMALL(Dong7,ROWS($1:4)),))</f>
        <v>1121</v>
      </c>
      <c r="H14" s="456" t="str">
        <f ca="1">IF(ROWS($1:4)&gt;COUNT(Dong7),"",OFFSET(TH!K$1,SMALL(Dong7,ROWS($1:4)),))</f>
        <v>3388</v>
      </c>
      <c r="I14" s="63">
        <f ca="1">A14</f>
        <v>4</v>
      </c>
      <c r="J14" s="395">
        <f t="shared" ca="1" si="1"/>
        <v>0</v>
      </c>
      <c r="K14" s="395">
        <f t="shared" ca="1" si="2"/>
        <v>0</v>
      </c>
      <c r="L14" s="395">
        <f t="shared" ca="1" si="3"/>
        <v>33000000</v>
      </c>
      <c r="M14" s="395">
        <f t="shared" ca="1" si="4"/>
        <v>0</v>
      </c>
      <c r="N14" s="395">
        <f t="shared" ca="1" si="5"/>
        <v>0</v>
      </c>
      <c r="O14" s="395">
        <f t="shared" ca="1" si="6"/>
        <v>0</v>
      </c>
      <c r="P14" s="395">
        <f t="shared" ca="1" si="7"/>
        <v>0</v>
      </c>
      <c r="Q14" s="395">
        <f t="shared" ca="1" si="8"/>
        <v>0</v>
      </c>
      <c r="R14" s="395">
        <f t="shared" ca="1" si="39"/>
        <v>0</v>
      </c>
      <c r="S14" s="395">
        <f t="shared" ca="1" si="40"/>
        <v>0</v>
      </c>
      <c r="T14" s="395">
        <f t="shared" ca="1" si="9"/>
        <v>0</v>
      </c>
      <c r="U14" s="395">
        <f t="shared" ca="1" si="10"/>
        <v>0</v>
      </c>
      <c r="V14" s="395">
        <f t="shared" ca="1" si="11"/>
        <v>0</v>
      </c>
      <c r="W14" s="395">
        <f t="shared" ca="1" si="12"/>
        <v>0</v>
      </c>
      <c r="X14" s="395">
        <f t="shared" ca="1" si="13"/>
        <v>0</v>
      </c>
      <c r="Y14" s="395">
        <f t="shared" ca="1" si="14"/>
        <v>0</v>
      </c>
      <c r="Z14" s="395">
        <f t="shared" ca="1" si="15"/>
        <v>0</v>
      </c>
      <c r="AA14" s="395">
        <f t="shared" ca="1" si="16"/>
        <v>33000000</v>
      </c>
      <c r="AB14" s="395">
        <f t="shared" ca="1" si="17"/>
        <v>0</v>
      </c>
      <c r="AC14" s="395">
        <f t="shared" ca="1" si="18"/>
        <v>0</v>
      </c>
      <c r="AD14" s="395">
        <f t="shared" ca="1" si="19"/>
        <v>0</v>
      </c>
      <c r="AE14" s="395">
        <f t="shared" ca="1" si="20"/>
        <v>0</v>
      </c>
      <c r="AF14" s="395">
        <f t="shared" ca="1" si="21"/>
        <v>0</v>
      </c>
      <c r="AG14" s="395">
        <f t="shared" ca="1" si="22"/>
        <v>0</v>
      </c>
      <c r="AH14" s="395">
        <f t="shared" ca="1" si="23"/>
        <v>0</v>
      </c>
      <c r="AI14" s="395">
        <f t="shared" ca="1" si="24"/>
        <v>0</v>
      </c>
      <c r="AJ14" s="395">
        <f t="shared" ca="1" si="25"/>
        <v>0</v>
      </c>
      <c r="AK14" s="395">
        <f t="shared" ca="1" si="26"/>
        <v>0</v>
      </c>
      <c r="AL14" s="395">
        <f t="shared" ca="1" si="27"/>
        <v>0</v>
      </c>
      <c r="AM14" s="395">
        <f t="shared" ca="1" si="28"/>
        <v>0</v>
      </c>
      <c r="AN14" s="395">
        <f t="shared" ca="1" si="29"/>
        <v>0</v>
      </c>
      <c r="AO14" s="395">
        <f t="shared" ca="1" si="30"/>
        <v>0</v>
      </c>
      <c r="AP14" s="395">
        <f t="shared" ca="1" si="31"/>
        <v>0</v>
      </c>
      <c r="AQ14" s="395">
        <f t="shared" ca="1" si="32"/>
        <v>0</v>
      </c>
      <c r="AR14" s="395">
        <f t="shared" ca="1" si="33"/>
        <v>0</v>
      </c>
      <c r="AS14" s="395">
        <f t="shared" ca="1" si="34"/>
        <v>0</v>
      </c>
      <c r="AT14" s="395">
        <f t="shared" ca="1" si="35"/>
        <v>0</v>
      </c>
      <c r="AU14" s="395">
        <f t="shared" ca="1" si="36"/>
        <v>0</v>
      </c>
      <c r="AV14" s="395">
        <f t="shared" ca="1" si="37"/>
        <v>0</v>
      </c>
      <c r="AW14" s="395">
        <f t="shared" ca="1" si="38"/>
        <v>0</v>
      </c>
    </row>
    <row r="15" spans="1:49" s="392" customFormat="1" ht="12" customHeight="1">
      <c r="A15" s="63">
        <f t="array" aca="1" ref="A15" ca="1">IF(C15&lt;&gt;0,SUM(($C$11:C15&lt;&gt;0)*1),"")</f>
        <v>5</v>
      </c>
      <c r="B15" s="393">
        <f ca="1">IF(ROWS($1:5)&gt;COUNT(Dong7),"",OFFSET(TH!C$1,SMALL(Dong7,ROWS($1:5)),))</f>
        <v>41775</v>
      </c>
      <c r="C15" s="393" t="str">
        <f ca="1">IF(ROWS($1:5)&gt;COUNT(Dong7),"",OFFSET(TH!D$1,SMALL(Dong7,ROWS($1:5)),))</f>
        <v>GBN</v>
      </c>
      <c r="D15" s="393">
        <f ca="1">IF(ROWS($1:5)&gt;COUNT(Dong7),"",OFFSET(TH!E$1,SMALL(Dong7,ROWS($1:5)),))</f>
        <v>41775</v>
      </c>
      <c r="E15" s="443" t="str">
        <f ca="1">IF(ROWS($1:5)&gt;COUNT(Dong7),"",OFFSET(TH!F$1,SMALL(Dong7,ROWS($1:5)),))</f>
        <v>Tạm ứng tiền theo dõi môi trường công trình xây dựng</v>
      </c>
      <c r="F15" s="444">
        <f ca="1">IF(ROWS($1:5)&gt;COUNT(Dong7),"",OFFSET(TH!I$1,SMALL(Dong7,ROWS($1:5)),))</f>
        <v>33000000</v>
      </c>
      <c r="G15" s="456" t="str">
        <f ca="1">IF(ROWS($1:5)&gt;COUNT(Dong7),"",OFFSET(TH!J$1,SMALL(Dong7,ROWS($1:5)),))</f>
        <v>1388</v>
      </c>
      <c r="H15" s="456" t="str">
        <f ca="1">IF(ROWS($1:5)&gt;COUNT(Dong7),"",OFFSET(TH!K$1,SMALL(Dong7,ROWS($1:5)),))</f>
        <v>1121</v>
      </c>
      <c r="I15" s="63">
        <f ca="1">A15</f>
        <v>5</v>
      </c>
      <c r="J15" s="395">
        <f t="shared" ca="1" si="1"/>
        <v>0</v>
      </c>
      <c r="K15" s="395">
        <f t="shared" ca="1" si="2"/>
        <v>0</v>
      </c>
      <c r="L15" s="395">
        <f t="shared" ca="1" si="3"/>
        <v>0</v>
      </c>
      <c r="M15" s="395">
        <f t="shared" ca="1" si="4"/>
        <v>33000000</v>
      </c>
      <c r="N15" s="395">
        <f t="shared" ca="1" si="5"/>
        <v>0</v>
      </c>
      <c r="O15" s="395">
        <f t="shared" ca="1" si="6"/>
        <v>0</v>
      </c>
      <c r="P15" s="395">
        <f t="shared" ca="1" si="7"/>
        <v>33000000</v>
      </c>
      <c r="Q15" s="395">
        <f t="shared" ca="1" si="8"/>
        <v>0</v>
      </c>
      <c r="R15" s="395">
        <f t="shared" ca="1" si="39"/>
        <v>0</v>
      </c>
      <c r="S15" s="395">
        <f t="shared" ca="1" si="40"/>
        <v>0</v>
      </c>
      <c r="T15" s="395">
        <f t="shared" ca="1" si="9"/>
        <v>0</v>
      </c>
      <c r="U15" s="395">
        <f t="shared" ca="1" si="10"/>
        <v>0</v>
      </c>
      <c r="V15" s="395">
        <f t="shared" ca="1" si="11"/>
        <v>0</v>
      </c>
      <c r="W15" s="395">
        <f t="shared" ca="1" si="12"/>
        <v>0</v>
      </c>
      <c r="X15" s="395">
        <f t="shared" ca="1" si="13"/>
        <v>0</v>
      </c>
      <c r="Y15" s="395">
        <f t="shared" ca="1" si="14"/>
        <v>0</v>
      </c>
      <c r="Z15" s="395">
        <f t="shared" ca="1" si="15"/>
        <v>0</v>
      </c>
      <c r="AA15" s="395">
        <f t="shared" ca="1" si="16"/>
        <v>0</v>
      </c>
      <c r="AB15" s="395">
        <f t="shared" ca="1" si="17"/>
        <v>0</v>
      </c>
      <c r="AC15" s="395">
        <f t="shared" ca="1" si="18"/>
        <v>0</v>
      </c>
      <c r="AD15" s="395">
        <f t="shared" ca="1" si="19"/>
        <v>0</v>
      </c>
      <c r="AE15" s="395">
        <f t="shared" ca="1" si="20"/>
        <v>0</v>
      </c>
      <c r="AF15" s="395">
        <f t="shared" ca="1" si="21"/>
        <v>0</v>
      </c>
      <c r="AG15" s="395">
        <f t="shared" ca="1" si="22"/>
        <v>0</v>
      </c>
      <c r="AH15" s="395">
        <f t="shared" ca="1" si="23"/>
        <v>0</v>
      </c>
      <c r="AI15" s="395">
        <f t="shared" ca="1" si="24"/>
        <v>0</v>
      </c>
      <c r="AJ15" s="395">
        <f t="shared" ca="1" si="25"/>
        <v>0</v>
      </c>
      <c r="AK15" s="395">
        <f t="shared" ca="1" si="26"/>
        <v>0</v>
      </c>
      <c r="AL15" s="395">
        <f t="shared" ca="1" si="27"/>
        <v>0</v>
      </c>
      <c r="AM15" s="395">
        <f t="shared" ca="1" si="28"/>
        <v>0</v>
      </c>
      <c r="AN15" s="395">
        <f t="shared" ca="1" si="29"/>
        <v>0</v>
      </c>
      <c r="AO15" s="395">
        <f t="shared" ca="1" si="30"/>
        <v>0</v>
      </c>
      <c r="AP15" s="395">
        <f t="shared" ca="1" si="31"/>
        <v>0</v>
      </c>
      <c r="AQ15" s="395">
        <f t="shared" ca="1" si="32"/>
        <v>0</v>
      </c>
      <c r="AR15" s="395">
        <f t="shared" ca="1" si="33"/>
        <v>0</v>
      </c>
      <c r="AS15" s="395">
        <f t="shared" ca="1" si="34"/>
        <v>0</v>
      </c>
      <c r="AT15" s="395">
        <f t="shared" ca="1" si="35"/>
        <v>0</v>
      </c>
      <c r="AU15" s="395">
        <f t="shared" ca="1" si="36"/>
        <v>0</v>
      </c>
      <c r="AV15" s="395">
        <f t="shared" ca="1" si="37"/>
        <v>0</v>
      </c>
      <c r="AW15" s="395">
        <f t="shared" ca="1" si="38"/>
        <v>0</v>
      </c>
    </row>
    <row r="16" spans="1:49" s="392" customFormat="1" ht="12" customHeight="1">
      <c r="A16" s="63">
        <f t="array" aca="1" ref="A16" ca="1">IF(C16&lt;&gt;0,SUM(($C$11:C16&lt;&gt;0)*1),"")</f>
        <v>6</v>
      </c>
      <c r="B16" s="393">
        <f ca="1">IF(ROWS($1:6)&gt;COUNT(Dong7),"",OFFSET(TH!C$1,SMALL(Dong7,ROWS($1:6)),))</f>
        <v>41775</v>
      </c>
      <c r="C16" s="393" t="str">
        <f ca="1">IF(ROWS($1:6)&gt;COUNT(Dong7),"",OFFSET(TH!D$1,SMALL(Dong7,ROWS($1:6)),))</f>
        <v>GBN</v>
      </c>
      <c r="D16" s="393">
        <f ca="1">IF(ROWS($1:6)&gt;COUNT(Dong7),"",OFFSET(TH!E$1,SMALL(Dong7,ROWS($1:6)),))</f>
        <v>41775</v>
      </c>
      <c r="E16" s="443" t="str">
        <f ca="1">IF(ROWS($1:6)&gt;COUNT(Dong7),"",OFFSET(TH!F$1,SMALL(Dong7,ROWS($1:6)),))</f>
        <v xml:space="preserve">Phí chuyển tiền </v>
      </c>
      <c r="F16" s="444">
        <f ca="1">IF(ROWS($1:6)&gt;COUNT(Dong7),"",OFFSET(TH!I$1,SMALL(Dong7,ROWS($1:6)),))</f>
        <v>25000</v>
      </c>
      <c r="G16" s="456" t="str">
        <f ca="1">IF(ROWS($1:6)&gt;COUNT(Dong7),"",OFFSET(TH!J$1,SMALL(Dong7,ROWS($1:6)),))</f>
        <v>642</v>
      </c>
      <c r="H16" s="456" t="str">
        <f ca="1">IF(ROWS($1:6)&gt;COUNT(Dong7),"",OFFSET(TH!K$1,SMALL(Dong7,ROWS($1:6)),))</f>
        <v>1121</v>
      </c>
      <c r="I16" s="63">
        <f t="shared" ref="I16:I17" ca="1" si="41">A16</f>
        <v>6</v>
      </c>
      <c r="J16" s="395">
        <f t="shared" ca="1" si="1"/>
        <v>0</v>
      </c>
      <c r="K16" s="395">
        <f t="shared" ca="1" si="2"/>
        <v>0</v>
      </c>
      <c r="L16" s="395">
        <f t="shared" ca="1" si="3"/>
        <v>0</v>
      </c>
      <c r="M16" s="395">
        <f t="shared" ca="1" si="4"/>
        <v>25000</v>
      </c>
      <c r="N16" s="395">
        <f t="shared" ca="1" si="5"/>
        <v>0</v>
      </c>
      <c r="O16" s="395">
        <f t="shared" ca="1" si="6"/>
        <v>0</v>
      </c>
      <c r="P16" s="395">
        <f t="shared" ca="1" si="7"/>
        <v>0</v>
      </c>
      <c r="Q16" s="395">
        <f t="shared" ca="1" si="8"/>
        <v>0</v>
      </c>
      <c r="R16" s="395">
        <f t="shared" ca="1" si="39"/>
        <v>0</v>
      </c>
      <c r="S16" s="395">
        <f t="shared" ca="1" si="40"/>
        <v>0</v>
      </c>
      <c r="T16" s="395">
        <f t="shared" ca="1" si="9"/>
        <v>0</v>
      </c>
      <c r="U16" s="395">
        <f t="shared" ca="1" si="10"/>
        <v>0</v>
      </c>
      <c r="V16" s="395">
        <f t="shared" ca="1" si="11"/>
        <v>0</v>
      </c>
      <c r="W16" s="395">
        <f t="shared" ca="1" si="12"/>
        <v>0</v>
      </c>
      <c r="X16" s="395">
        <f t="shared" ca="1" si="13"/>
        <v>0</v>
      </c>
      <c r="Y16" s="395">
        <f t="shared" ca="1" si="14"/>
        <v>0</v>
      </c>
      <c r="Z16" s="395">
        <f t="shared" ca="1" si="15"/>
        <v>0</v>
      </c>
      <c r="AA16" s="395">
        <f t="shared" ca="1" si="16"/>
        <v>0</v>
      </c>
      <c r="AB16" s="395">
        <f t="shared" ca="1" si="17"/>
        <v>0</v>
      </c>
      <c r="AC16" s="395">
        <f t="shared" ca="1" si="18"/>
        <v>0</v>
      </c>
      <c r="AD16" s="395">
        <f t="shared" ca="1" si="19"/>
        <v>0</v>
      </c>
      <c r="AE16" s="395">
        <f t="shared" ca="1" si="20"/>
        <v>0</v>
      </c>
      <c r="AF16" s="395">
        <f t="shared" ca="1" si="21"/>
        <v>0</v>
      </c>
      <c r="AG16" s="395">
        <f t="shared" ca="1" si="22"/>
        <v>0</v>
      </c>
      <c r="AH16" s="395">
        <f t="shared" ca="1" si="23"/>
        <v>0</v>
      </c>
      <c r="AI16" s="395">
        <f t="shared" ca="1" si="24"/>
        <v>0</v>
      </c>
      <c r="AJ16" s="395">
        <f t="shared" ca="1" si="25"/>
        <v>0</v>
      </c>
      <c r="AK16" s="395">
        <f t="shared" ca="1" si="26"/>
        <v>0</v>
      </c>
      <c r="AL16" s="395">
        <f t="shared" ca="1" si="27"/>
        <v>0</v>
      </c>
      <c r="AM16" s="395">
        <f t="shared" ca="1" si="28"/>
        <v>0</v>
      </c>
      <c r="AN16" s="395">
        <f t="shared" ca="1" si="29"/>
        <v>25000</v>
      </c>
      <c r="AO16" s="395">
        <f t="shared" ca="1" si="30"/>
        <v>0</v>
      </c>
      <c r="AP16" s="395">
        <f t="shared" ca="1" si="31"/>
        <v>0</v>
      </c>
      <c r="AQ16" s="395">
        <f t="shared" ca="1" si="32"/>
        <v>0</v>
      </c>
      <c r="AR16" s="395">
        <f t="shared" ca="1" si="33"/>
        <v>0</v>
      </c>
      <c r="AS16" s="395">
        <f t="shared" ca="1" si="34"/>
        <v>0</v>
      </c>
      <c r="AT16" s="395">
        <f t="shared" ca="1" si="35"/>
        <v>0</v>
      </c>
      <c r="AU16" s="395">
        <f t="shared" ca="1" si="36"/>
        <v>0</v>
      </c>
      <c r="AV16" s="395">
        <f t="shared" ca="1" si="37"/>
        <v>0</v>
      </c>
      <c r="AW16" s="395">
        <f t="shared" ca="1" si="38"/>
        <v>0</v>
      </c>
    </row>
    <row r="17" spans="1:49" s="392" customFormat="1" ht="12" customHeight="1">
      <c r="A17" s="63">
        <f t="array" aca="1" ref="A17" ca="1">IF(C17&lt;&gt;0,SUM(($C$11:C17&lt;&gt;0)*1),"")</f>
        <v>7</v>
      </c>
      <c r="B17" s="393">
        <f ca="1">IF(ROWS($1:7)&gt;COUNT(Dong7),"",OFFSET(TH!C$1,SMALL(Dong7,ROWS($1:7)),))</f>
        <v>41775</v>
      </c>
      <c r="C17" s="393" t="str">
        <f ca="1">IF(ROWS($1:7)&gt;COUNT(Dong7),"",OFFSET(TH!D$1,SMALL(Dong7,ROWS($1:7)),))</f>
        <v>GBN</v>
      </c>
      <c r="D17" s="393">
        <f ca="1">IF(ROWS($1:7)&gt;COUNT(Dong7),"",OFFSET(TH!E$1,SMALL(Dong7,ROWS($1:7)),))</f>
        <v>41775</v>
      </c>
      <c r="E17" s="443" t="str">
        <f ca="1">IF(ROWS($1:7)&gt;COUNT(Dong7),"",OFFSET(TH!F$1,SMALL(Dong7,ROWS($1:7)),))</f>
        <v xml:space="preserve">VAT Phí chuyển tiền </v>
      </c>
      <c r="F17" s="444">
        <f ca="1">IF(ROWS($1:7)&gt;COUNT(Dong7),"",OFFSET(TH!I$1,SMALL(Dong7,ROWS($1:7)),))</f>
        <v>2500</v>
      </c>
      <c r="G17" s="456" t="str">
        <f ca="1">IF(ROWS($1:7)&gt;COUNT(Dong7),"",OFFSET(TH!J$1,SMALL(Dong7,ROWS($1:7)),))</f>
        <v>1331</v>
      </c>
      <c r="H17" s="456" t="str">
        <f ca="1">IF(ROWS($1:7)&gt;COUNT(Dong7),"",OFFSET(TH!K$1,SMALL(Dong7,ROWS($1:7)),))</f>
        <v>1121</v>
      </c>
      <c r="I17" s="63">
        <f t="shared" ca="1" si="41"/>
        <v>7</v>
      </c>
      <c r="J17" s="395">
        <f t="shared" ca="1" si="1"/>
        <v>0</v>
      </c>
      <c r="K17" s="395">
        <f t="shared" ca="1" si="2"/>
        <v>0</v>
      </c>
      <c r="L17" s="395">
        <f t="shared" ca="1" si="3"/>
        <v>0</v>
      </c>
      <c r="M17" s="395">
        <f t="shared" ca="1" si="4"/>
        <v>2500</v>
      </c>
      <c r="N17" s="395">
        <f t="shared" ca="1" si="5"/>
        <v>2500</v>
      </c>
      <c r="O17" s="395">
        <f t="shared" ca="1" si="6"/>
        <v>0</v>
      </c>
      <c r="P17" s="395">
        <f t="shared" ca="1" si="7"/>
        <v>0</v>
      </c>
      <c r="Q17" s="395">
        <f t="shared" ca="1" si="8"/>
        <v>0</v>
      </c>
      <c r="R17" s="395">
        <f t="shared" ca="1" si="39"/>
        <v>0</v>
      </c>
      <c r="S17" s="395">
        <f t="shared" ca="1" si="40"/>
        <v>0</v>
      </c>
      <c r="T17" s="395">
        <f t="shared" ca="1" si="9"/>
        <v>0</v>
      </c>
      <c r="U17" s="395">
        <f t="shared" ca="1" si="10"/>
        <v>0</v>
      </c>
      <c r="V17" s="395">
        <f t="shared" ca="1" si="11"/>
        <v>0</v>
      </c>
      <c r="W17" s="395">
        <f t="shared" ca="1" si="12"/>
        <v>0</v>
      </c>
      <c r="X17" s="395">
        <f t="shared" ca="1" si="13"/>
        <v>0</v>
      </c>
      <c r="Y17" s="395">
        <f t="shared" ca="1" si="14"/>
        <v>0</v>
      </c>
      <c r="Z17" s="395">
        <f t="shared" ca="1" si="15"/>
        <v>0</v>
      </c>
      <c r="AA17" s="395">
        <f t="shared" ca="1" si="16"/>
        <v>0</v>
      </c>
      <c r="AB17" s="395">
        <f t="shared" ca="1" si="17"/>
        <v>0</v>
      </c>
      <c r="AC17" s="395">
        <f t="shared" ca="1" si="18"/>
        <v>0</v>
      </c>
      <c r="AD17" s="395">
        <f t="shared" ca="1" si="19"/>
        <v>0</v>
      </c>
      <c r="AE17" s="395">
        <f t="shared" ca="1" si="20"/>
        <v>0</v>
      </c>
      <c r="AF17" s="395">
        <f t="shared" ca="1" si="21"/>
        <v>0</v>
      </c>
      <c r="AG17" s="395">
        <f t="shared" ca="1" si="22"/>
        <v>0</v>
      </c>
      <c r="AH17" s="395">
        <f t="shared" ca="1" si="23"/>
        <v>0</v>
      </c>
      <c r="AI17" s="395">
        <f t="shared" ca="1" si="24"/>
        <v>0</v>
      </c>
      <c r="AJ17" s="395">
        <f t="shared" ca="1" si="25"/>
        <v>0</v>
      </c>
      <c r="AK17" s="395">
        <f t="shared" ca="1" si="26"/>
        <v>0</v>
      </c>
      <c r="AL17" s="395">
        <f t="shared" ca="1" si="27"/>
        <v>0</v>
      </c>
      <c r="AM17" s="395">
        <f t="shared" ca="1" si="28"/>
        <v>0</v>
      </c>
      <c r="AN17" s="395">
        <f t="shared" ca="1" si="29"/>
        <v>0</v>
      </c>
      <c r="AO17" s="395">
        <f t="shared" ca="1" si="30"/>
        <v>0</v>
      </c>
      <c r="AP17" s="395">
        <f t="shared" ca="1" si="31"/>
        <v>0</v>
      </c>
      <c r="AQ17" s="395">
        <f t="shared" ca="1" si="32"/>
        <v>0</v>
      </c>
      <c r="AR17" s="395">
        <f t="shared" ca="1" si="33"/>
        <v>0</v>
      </c>
      <c r="AS17" s="395">
        <f t="shared" ca="1" si="34"/>
        <v>0</v>
      </c>
      <c r="AT17" s="395">
        <f t="shared" ca="1" si="35"/>
        <v>0</v>
      </c>
      <c r="AU17" s="395">
        <f t="shared" ca="1" si="36"/>
        <v>0</v>
      </c>
      <c r="AV17" s="395">
        <f t="shared" ca="1" si="37"/>
        <v>0</v>
      </c>
      <c r="AW17" s="395">
        <f t="shared" ca="1" si="38"/>
        <v>0</v>
      </c>
    </row>
    <row r="18" spans="1:49" s="392" customFormat="1" ht="12" customHeight="1">
      <c r="A18" s="63">
        <f t="array" aca="1" ref="A18" ca="1">IF(C18&lt;&gt;0,SUM(($C$11:C18&lt;&gt;0)*1),"")</f>
        <v>8</v>
      </c>
      <c r="B18" s="393">
        <f ca="1">IF(ROWS($1:8)&gt;COUNT(Dong7),"",OFFSET(TH!C$1,SMALL(Dong7,ROWS($1:8)),))</f>
        <v>41779</v>
      </c>
      <c r="C18" s="393" t="str">
        <f ca="1">IF(ROWS($1:8)&gt;COUNT(Dong7),"",OFFSET(TH!D$1,SMALL(Dong7,ROWS($1:8)),))</f>
        <v>C02</v>
      </c>
      <c r="D18" s="393">
        <f ca="1">IF(ROWS($1:8)&gt;COUNT(Dong7),"",OFFSET(TH!E$1,SMALL(Dong7,ROWS($1:8)),))</f>
        <v>41779</v>
      </c>
      <c r="E18" s="443" t="str">
        <f ca="1">IF(ROWS($1:8)&gt;COUNT(Dong7),"",OFFSET(TH!F$1,SMALL(Dong7,ROWS($1:8)),))</f>
        <v>Nộp tiền mặt vào tài khoản ngân hàng</v>
      </c>
      <c r="F18" s="444">
        <f ca="1">IF(ROWS($1:8)&gt;COUNT(Dong7),"",OFFSET(TH!I$1,SMALL(Dong7,ROWS($1:8)),))</f>
        <v>36500000</v>
      </c>
      <c r="G18" s="456" t="str">
        <f ca="1">IF(ROWS($1:8)&gt;COUNT(Dong7),"",OFFSET(TH!J$1,SMALL(Dong7,ROWS($1:8)),))</f>
        <v>1121</v>
      </c>
      <c r="H18" s="456" t="str">
        <f ca="1">IF(ROWS($1:8)&gt;COUNT(Dong7),"",OFFSET(TH!K$1,SMALL(Dong7,ROWS($1:8)),))</f>
        <v>1111</v>
      </c>
      <c r="I18" s="63">
        <f ca="1">A18</f>
        <v>8</v>
      </c>
      <c r="J18" s="395">
        <f t="shared" ca="1" si="1"/>
        <v>0</v>
      </c>
      <c r="K18" s="395">
        <f t="shared" ca="1" si="2"/>
        <v>36500000</v>
      </c>
      <c r="L18" s="395">
        <f t="shared" ca="1" si="3"/>
        <v>36500000</v>
      </c>
      <c r="M18" s="395">
        <f t="shared" ca="1" si="4"/>
        <v>0</v>
      </c>
      <c r="N18" s="395">
        <f t="shared" ca="1" si="5"/>
        <v>0</v>
      </c>
      <c r="O18" s="395">
        <f t="shared" ca="1" si="6"/>
        <v>0</v>
      </c>
      <c r="P18" s="395">
        <f t="shared" ca="1" si="7"/>
        <v>0</v>
      </c>
      <c r="Q18" s="395">
        <f t="shared" ca="1" si="8"/>
        <v>0</v>
      </c>
      <c r="R18" s="395">
        <f t="shared" ca="1" si="39"/>
        <v>0</v>
      </c>
      <c r="S18" s="395">
        <f t="shared" ca="1" si="40"/>
        <v>0</v>
      </c>
      <c r="T18" s="395">
        <f t="shared" ca="1" si="9"/>
        <v>0</v>
      </c>
      <c r="U18" s="395">
        <f t="shared" ca="1" si="10"/>
        <v>0</v>
      </c>
      <c r="V18" s="395">
        <f t="shared" ca="1" si="11"/>
        <v>0</v>
      </c>
      <c r="W18" s="395">
        <f t="shared" ca="1" si="12"/>
        <v>0</v>
      </c>
      <c r="X18" s="395">
        <f t="shared" ca="1" si="13"/>
        <v>0</v>
      </c>
      <c r="Y18" s="395">
        <f t="shared" ca="1" si="14"/>
        <v>0</v>
      </c>
      <c r="Z18" s="395">
        <f t="shared" ca="1" si="15"/>
        <v>0</v>
      </c>
      <c r="AA18" s="395">
        <f t="shared" ca="1" si="16"/>
        <v>0</v>
      </c>
      <c r="AB18" s="395">
        <f t="shared" ca="1" si="17"/>
        <v>0</v>
      </c>
      <c r="AC18" s="395">
        <f t="shared" ca="1" si="18"/>
        <v>0</v>
      </c>
      <c r="AD18" s="395">
        <f t="shared" ca="1" si="19"/>
        <v>0</v>
      </c>
      <c r="AE18" s="395">
        <f t="shared" ca="1" si="20"/>
        <v>0</v>
      </c>
      <c r="AF18" s="395">
        <f t="shared" ca="1" si="21"/>
        <v>0</v>
      </c>
      <c r="AG18" s="395">
        <f t="shared" ca="1" si="22"/>
        <v>0</v>
      </c>
      <c r="AH18" s="395">
        <f t="shared" ca="1" si="23"/>
        <v>0</v>
      </c>
      <c r="AI18" s="395">
        <f t="shared" ca="1" si="24"/>
        <v>0</v>
      </c>
      <c r="AJ18" s="395">
        <f t="shared" ca="1" si="25"/>
        <v>0</v>
      </c>
      <c r="AK18" s="395">
        <f t="shared" ca="1" si="26"/>
        <v>0</v>
      </c>
      <c r="AL18" s="395">
        <f t="shared" ca="1" si="27"/>
        <v>0</v>
      </c>
      <c r="AM18" s="395">
        <f t="shared" ca="1" si="28"/>
        <v>0</v>
      </c>
      <c r="AN18" s="395">
        <f t="shared" ca="1" si="29"/>
        <v>0</v>
      </c>
      <c r="AO18" s="395">
        <f t="shared" ca="1" si="30"/>
        <v>0</v>
      </c>
      <c r="AP18" s="395">
        <f t="shared" ca="1" si="31"/>
        <v>0</v>
      </c>
      <c r="AQ18" s="395">
        <f t="shared" ca="1" si="32"/>
        <v>0</v>
      </c>
      <c r="AR18" s="395">
        <f t="shared" ca="1" si="33"/>
        <v>0</v>
      </c>
      <c r="AS18" s="395">
        <f t="shared" ca="1" si="34"/>
        <v>0</v>
      </c>
      <c r="AT18" s="395">
        <f t="shared" ca="1" si="35"/>
        <v>0</v>
      </c>
      <c r="AU18" s="395">
        <f t="shared" ca="1" si="36"/>
        <v>0</v>
      </c>
      <c r="AV18" s="395">
        <f t="shared" ca="1" si="37"/>
        <v>0</v>
      </c>
      <c r="AW18" s="395">
        <f t="shared" ca="1" si="38"/>
        <v>0</v>
      </c>
    </row>
    <row r="19" spans="1:49" s="392" customFormat="1" ht="12" customHeight="1">
      <c r="A19" s="63">
        <f t="array" aca="1" ref="A19" ca="1">IF(C19&lt;&gt;0,SUM(($C$11:C19&lt;&gt;0)*1),"")</f>
        <v>9</v>
      </c>
      <c r="B19" s="393">
        <f ca="1">IF(ROWS($1:9)&gt;COUNT(Dong7),"",OFFSET(TH!C$1,SMALL(Dong7,ROWS($1:9)),))</f>
        <v>41779</v>
      </c>
      <c r="C19" s="393" t="str">
        <f ca="1">IF(ROWS($1:9)&gt;COUNT(Dong7),"",OFFSET(TH!D$1,SMALL(Dong7,ROWS($1:9)),))</f>
        <v>GBC</v>
      </c>
      <c r="D19" s="393">
        <f ca="1">IF(ROWS($1:9)&gt;COUNT(Dong7),"",OFFSET(TH!E$1,SMALL(Dong7,ROWS($1:9)),))</f>
        <v>41779</v>
      </c>
      <c r="E19" s="443" t="str">
        <f ca="1">IF(ROWS($1:9)&gt;COUNT(Dong7),"",OFFSET(TH!F$1,SMALL(Dong7,ROWS($1:9)),))</f>
        <v>Tạm ứng tiền theo dõi môi trường công trình xây dựng</v>
      </c>
      <c r="F19" s="444">
        <f ca="1">IF(ROWS($1:9)&gt;COUNT(Dong7),"",OFFSET(TH!I$1,SMALL(Dong7,ROWS($1:9)),))</f>
        <v>33000000</v>
      </c>
      <c r="G19" s="456" t="str">
        <f ca="1">IF(ROWS($1:9)&gt;COUNT(Dong7),"",OFFSET(TH!J$1,SMALL(Dong7,ROWS($1:9)),))</f>
        <v>1121</v>
      </c>
      <c r="H19" s="456" t="str">
        <f ca="1">IF(ROWS($1:9)&gt;COUNT(Dong7),"",OFFSET(TH!K$1,SMALL(Dong7,ROWS($1:9)),))</f>
        <v>1388</v>
      </c>
      <c r="I19" s="63">
        <f ca="1">A19</f>
        <v>9</v>
      </c>
      <c r="J19" s="395">
        <f t="shared" ca="1" si="1"/>
        <v>0</v>
      </c>
      <c r="K19" s="395">
        <f t="shared" ca="1" si="2"/>
        <v>0</v>
      </c>
      <c r="L19" s="395">
        <f t="shared" ca="1" si="3"/>
        <v>33000000</v>
      </c>
      <c r="M19" s="395">
        <f t="shared" ca="1" si="4"/>
        <v>0</v>
      </c>
      <c r="N19" s="395">
        <f t="shared" ca="1" si="5"/>
        <v>0</v>
      </c>
      <c r="O19" s="395">
        <f t="shared" ca="1" si="6"/>
        <v>0</v>
      </c>
      <c r="P19" s="395">
        <f t="shared" ca="1" si="7"/>
        <v>0</v>
      </c>
      <c r="Q19" s="395">
        <f t="shared" ca="1" si="8"/>
        <v>33000000</v>
      </c>
      <c r="R19" s="395">
        <f t="shared" ca="1" si="39"/>
        <v>0</v>
      </c>
      <c r="S19" s="395">
        <f t="shared" ca="1" si="40"/>
        <v>0</v>
      </c>
      <c r="T19" s="395">
        <f t="shared" ca="1" si="9"/>
        <v>0</v>
      </c>
      <c r="U19" s="395">
        <f t="shared" ca="1" si="10"/>
        <v>0</v>
      </c>
      <c r="V19" s="395">
        <f t="shared" ca="1" si="11"/>
        <v>0</v>
      </c>
      <c r="W19" s="395">
        <f t="shared" ca="1" si="12"/>
        <v>0</v>
      </c>
      <c r="X19" s="395">
        <f t="shared" ca="1" si="13"/>
        <v>0</v>
      </c>
      <c r="Y19" s="395">
        <f t="shared" ca="1" si="14"/>
        <v>0</v>
      </c>
      <c r="Z19" s="395">
        <f t="shared" ca="1" si="15"/>
        <v>0</v>
      </c>
      <c r="AA19" s="395">
        <f t="shared" ca="1" si="16"/>
        <v>0</v>
      </c>
      <c r="AB19" s="395">
        <f t="shared" ca="1" si="17"/>
        <v>0</v>
      </c>
      <c r="AC19" s="395">
        <f t="shared" ca="1" si="18"/>
        <v>0</v>
      </c>
      <c r="AD19" s="395">
        <f t="shared" ca="1" si="19"/>
        <v>0</v>
      </c>
      <c r="AE19" s="395">
        <f t="shared" ca="1" si="20"/>
        <v>0</v>
      </c>
      <c r="AF19" s="395">
        <f t="shared" ca="1" si="21"/>
        <v>0</v>
      </c>
      <c r="AG19" s="395">
        <f t="shared" ca="1" si="22"/>
        <v>0</v>
      </c>
      <c r="AH19" s="395">
        <f t="shared" ca="1" si="23"/>
        <v>0</v>
      </c>
      <c r="AI19" s="395">
        <f t="shared" ca="1" si="24"/>
        <v>0</v>
      </c>
      <c r="AJ19" s="395">
        <f t="shared" ca="1" si="25"/>
        <v>0</v>
      </c>
      <c r="AK19" s="395">
        <f t="shared" ca="1" si="26"/>
        <v>0</v>
      </c>
      <c r="AL19" s="395">
        <f t="shared" ca="1" si="27"/>
        <v>0</v>
      </c>
      <c r="AM19" s="395">
        <f t="shared" ca="1" si="28"/>
        <v>0</v>
      </c>
      <c r="AN19" s="395">
        <f t="shared" ca="1" si="29"/>
        <v>0</v>
      </c>
      <c r="AO19" s="395">
        <f t="shared" ca="1" si="30"/>
        <v>0</v>
      </c>
      <c r="AP19" s="395">
        <f t="shared" ca="1" si="31"/>
        <v>0</v>
      </c>
      <c r="AQ19" s="395">
        <f t="shared" ca="1" si="32"/>
        <v>0</v>
      </c>
      <c r="AR19" s="395">
        <f t="shared" ca="1" si="33"/>
        <v>0</v>
      </c>
      <c r="AS19" s="395">
        <f t="shared" ca="1" si="34"/>
        <v>0</v>
      </c>
      <c r="AT19" s="395">
        <f t="shared" ca="1" si="35"/>
        <v>0</v>
      </c>
      <c r="AU19" s="395">
        <f t="shared" ca="1" si="36"/>
        <v>0</v>
      </c>
      <c r="AV19" s="395">
        <f t="shared" ca="1" si="37"/>
        <v>0</v>
      </c>
      <c r="AW19" s="395">
        <f t="shared" ca="1" si="38"/>
        <v>0</v>
      </c>
    </row>
    <row r="20" spans="1:49" s="392" customFormat="1" ht="12" customHeight="1">
      <c r="A20" s="63">
        <f t="array" aca="1" ref="A20" ca="1">IF(C20&lt;&gt;0,SUM(($C$11:C20&lt;&gt;0)*1),"")</f>
        <v>10</v>
      </c>
      <c r="B20" s="393">
        <f ca="1">IF(ROWS($1:10)&gt;COUNT(Dong7),"",OFFSET(TH!C$1,SMALL(Dong7,ROWS($1:10)),))</f>
        <v>41779</v>
      </c>
      <c r="C20" s="393" t="str">
        <f ca="1">IF(ROWS($1:10)&gt;COUNT(Dong7),"",OFFSET(TH!D$1,SMALL(Dong7,ROWS($1:10)),))</f>
        <v>GBN</v>
      </c>
      <c r="D20" s="393">
        <f ca="1">IF(ROWS($1:10)&gt;COUNT(Dong7),"",OFFSET(TH!E$1,SMALL(Dong7,ROWS($1:10)),))</f>
        <v>41779</v>
      </c>
      <c r="E20" s="443" t="str">
        <f ca="1">IF(ROWS($1:10)&gt;COUNT(Dong7),"",OFFSET(TH!F$1,SMALL(Dong7,ROWS($1:10)),))</f>
        <v>Tạm ứng tiền XD CSHT - Công  Nghệ Môi Trường CMD</v>
      </c>
      <c r="F20" s="444">
        <f ca="1">IF(ROWS($1:10)&gt;COUNT(Dong7),"",OFFSET(TH!I$1,SMALL(Dong7,ROWS($1:10)),))</f>
        <v>33000000</v>
      </c>
      <c r="G20" s="456" t="str">
        <f ca="1">IF(ROWS($1:10)&gt;COUNT(Dong7),"",OFFSET(TH!J$1,SMALL(Dong7,ROWS($1:10)),))</f>
        <v>331</v>
      </c>
      <c r="H20" s="456" t="str">
        <f ca="1">IF(ROWS($1:10)&gt;COUNT(Dong7),"",OFFSET(TH!K$1,SMALL(Dong7,ROWS($1:10)),))</f>
        <v>1121</v>
      </c>
      <c r="I20" s="63">
        <f ca="1">A20</f>
        <v>10</v>
      </c>
      <c r="J20" s="395">
        <f t="shared" ca="1" si="1"/>
        <v>0</v>
      </c>
      <c r="K20" s="395">
        <f t="shared" ca="1" si="2"/>
        <v>0</v>
      </c>
      <c r="L20" s="395">
        <f t="shared" ca="1" si="3"/>
        <v>0</v>
      </c>
      <c r="M20" s="395">
        <f t="shared" ca="1" si="4"/>
        <v>33000000</v>
      </c>
      <c r="N20" s="395">
        <f t="shared" ca="1" si="5"/>
        <v>0</v>
      </c>
      <c r="O20" s="395">
        <f t="shared" ca="1" si="6"/>
        <v>0</v>
      </c>
      <c r="P20" s="395">
        <f t="shared" ca="1" si="7"/>
        <v>0</v>
      </c>
      <c r="Q20" s="395">
        <f t="shared" ca="1" si="8"/>
        <v>0</v>
      </c>
      <c r="R20" s="395">
        <f t="shared" ca="1" si="39"/>
        <v>0</v>
      </c>
      <c r="S20" s="395">
        <f t="shared" ca="1" si="40"/>
        <v>0</v>
      </c>
      <c r="T20" s="395">
        <f t="shared" ca="1" si="9"/>
        <v>33000000</v>
      </c>
      <c r="U20" s="395">
        <f t="shared" ca="1" si="10"/>
        <v>0</v>
      </c>
      <c r="V20" s="395">
        <f t="shared" ca="1" si="11"/>
        <v>0</v>
      </c>
      <c r="W20" s="395">
        <f t="shared" ca="1" si="12"/>
        <v>0</v>
      </c>
      <c r="X20" s="395">
        <f t="shared" ca="1" si="13"/>
        <v>0</v>
      </c>
      <c r="Y20" s="395">
        <f t="shared" ca="1" si="14"/>
        <v>0</v>
      </c>
      <c r="Z20" s="395">
        <f t="shared" ca="1" si="15"/>
        <v>0</v>
      </c>
      <c r="AA20" s="395">
        <f t="shared" ca="1" si="16"/>
        <v>0</v>
      </c>
      <c r="AB20" s="395">
        <f t="shared" ca="1" si="17"/>
        <v>0</v>
      </c>
      <c r="AC20" s="395">
        <f t="shared" ca="1" si="18"/>
        <v>0</v>
      </c>
      <c r="AD20" s="395">
        <f t="shared" ca="1" si="19"/>
        <v>0</v>
      </c>
      <c r="AE20" s="395">
        <f t="shared" ca="1" si="20"/>
        <v>0</v>
      </c>
      <c r="AF20" s="395">
        <f t="shared" ca="1" si="21"/>
        <v>0</v>
      </c>
      <c r="AG20" s="395">
        <f t="shared" ca="1" si="22"/>
        <v>0</v>
      </c>
      <c r="AH20" s="395">
        <f t="shared" ca="1" si="23"/>
        <v>0</v>
      </c>
      <c r="AI20" s="395">
        <f t="shared" ca="1" si="24"/>
        <v>0</v>
      </c>
      <c r="AJ20" s="395">
        <f t="shared" ca="1" si="25"/>
        <v>0</v>
      </c>
      <c r="AK20" s="395">
        <f t="shared" ca="1" si="26"/>
        <v>0</v>
      </c>
      <c r="AL20" s="395">
        <f t="shared" ca="1" si="27"/>
        <v>0</v>
      </c>
      <c r="AM20" s="395">
        <f t="shared" ca="1" si="28"/>
        <v>0</v>
      </c>
      <c r="AN20" s="395">
        <f t="shared" ca="1" si="29"/>
        <v>0</v>
      </c>
      <c r="AO20" s="395">
        <f t="shared" ca="1" si="30"/>
        <v>0</v>
      </c>
      <c r="AP20" s="395">
        <f t="shared" ca="1" si="31"/>
        <v>0</v>
      </c>
      <c r="AQ20" s="395">
        <f t="shared" ca="1" si="32"/>
        <v>0</v>
      </c>
      <c r="AR20" s="395">
        <f t="shared" ca="1" si="33"/>
        <v>0</v>
      </c>
      <c r="AS20" s="395">
        <f t="shared" ca="1" si="34"/>
        <v>0</v>
      </c>
      <c r="AT20" s="395">
        <f t="shared" ca="1" si="35"/>
        <v>0</v>
      </c>
      <c r="AU20" s="395">
        <f t="shared" ca="1" si="36"/>
        <v>0</v>
      </c>
      <c r="AV20" s="395">
        <f t="shared" ca="1" si="37"/>
        <v>0</v>
      </c>
      <c r="AW20" s="395">
        <f t="shared" ca="1" si="38"/>
        <v>0</v>
      </c>
    </row>
    <row r="21" spans="1:49" s="392" customFormat="1" ht="12" customHeight="1">
      <c r="A21" s="63">
        <f t="array" aca="1" ref="A21" ca="1">IF(C21&lt;&gt;0,SUM(($C$11:C21&lt;&gt;0)*1),"")</f>
        <v>11</v>
      </c>
      <c r="B21" s="393">
        <f ca="1">IF(ROWS($1:11)&gt;COUNT(Dong7),"",OFFSET(TH!C$1,SMALL(Dong7,ROWS($1:11)),))</f>
        <v>41779</v>
      </c>
      <c r="C21" s="393" t="str">
        <f ca="1">IF(ROWS($1:11)&gt;COUNT(Dong7),"",OFFSET(TH!D$1,SMALL(Dong7,ROWS($1:11)),))</f>
        <v>GBN</v>
      </c>
      <c r="D21" s="393">
        <f ca="1">IF(ROWS($1:11)&gt;COUNT(Dong7),"",OFFSET(TH!E$1,SMALL(Dong7,ROWS($1:11)),))</f>
        <v>41779</v>
      </c>
      <c r="E21" s="443" t="str">
        <f ca="1">IF(ROWS($1:11)&gt;COUNT(Dong7),"",OFFSET(TH!F$1,SMALL(Dong7,ROWS($1:11)),))</f>
        <v xml:space="preserve">Phí chuyển tiền </v>
      </c>
      <c r="F21" s="444">
        <f ca="1">IF(ROWS($1:11)&gt;COUNT(Dong7),"",OFFSET(TH!I$1,SMALL(Dong7,ROWS($1:11)),))</f>
        <v>25000</v>
      </c>
      <c r="G21" s="456" t="str">
        <f ca="1">IF(ROWS($1:11)&gt;COUNT(Dong7),"",OFFSET(TH!J$1,SMALL(Dong7,ROWS($1:11)),))</f>
        <v>642</v>
      </c>
      <c r="H21" s="456" t="str">
        <f ca="1">IF(ROWS($1:11)&gt;COUNT(Dong7),"",OFFSET(TH!K$1,SMALL(Dong7,ROWS($1:11)),))</f>
        <v>1121</v>
      </c>
      <c r="I21" s="63">
        <f ca="1">A21</f>
        <v>11</v>
      </c>
      <c r="J21" s="395">
        <f t="shared" ca="1" si="1"/>
        <v>0</v>
      </c>
      <c r="K21" s="395">
        <f t="shared" ca="1" si="2"/>
        <v>0</v>
      </c>
      <c r="L21" s="395">
        <f t="shared" ca="1" si="3"/>
        <v>0</v>
      </c>
      <c r="M21" s="395">
        <f t="shared" ca="1" si="4"/>
        <v>25000</v>
      </c>
      <c r="N21" s="395">
        <f t="shared" ca="1" si="5"/>
        <v>0</v>
      </c>
      <c r="O21" s="395">
        <f t="shared" ca="1" si="6"/>
        <v>0</v>
      </c>
      <c r="P21" s="395">
        <f t="shared" ca="1" si="7"/>
        <v>0</v>
      </c>
      <c r="Q21" s="395">
        <f t="shared" ca="1" si="8"/>
        <v>0</v>
      </c>
      <c r="R21" s="395">
        <f t="shared" ca="1" si="39"/>
        <v>0</v>
      </c>
      <c r="S21" s="395">
        <f t="shared" ca="1" si="40"/>
        <v>0</v>
      </c>
      <c r="T21" s="395">
        <f t="shared" ca="1" si="9"/>
        <v>0</v>
      </c>
      <c r="U21" s="395">
        <f t="shared" ca="1" si="10"/>
        <v>0</v>
      </c>
      <c r="V21" s="395">
        <f t="shared" ca="1" si="11"/>
        <v>0</v>
      </c>
      <c r="W21" s="395">
        <f t="shared" ca="1" si="12"/>
        <v>0</v>
      </c>
      <c r="X21" s="395">
        <f t="shared" ca="1" si="13"/>
        <v>0</v>
      </c>
      <c r="Y21" s="395">
        <f t="shared" ca="1" si="14"/>
        <v>0</v>
      </c>
      <c r="Z21" s="395">
        <f t="shared" ca="1" si="15"/>
        <v>0</v>
      </c>
      <c r="AA21" s="395">
        <f t="shared" ca="1" si="16"/>
        <v>0</v>
      </c>
      <c r="AB21" s="395">
        <f t="shared" ca="1" si="17"/>
        <v>0</v>
      </c>
      <c r="AC21" s="395">
        <f t="shared" ca="1" si="18"/>
        <v>0</v>
      </c>
      <c r="AD21" s="395">
        <f t="shared" ca="1" si="19"/>
        <v>0</v>
      </c>
      <c r="AE21" s="395">
        <f t="shared" ca="1" si="20"/>
        <v>0</v>
      </c>
      <c r="AF21" s="395">
        <f t="shared" ca="1" si="21"/>
        <v>0</v>
      </c>
      <c r="AG21" s="395">
        <f t="shared" ca="1" si="22"/>
        <v>0</v>
      </c>
      <c r="AH21" s="395">
        <f t="shared" ca="1" si="23"/>
        <v>0</v>
      </c>
      <c r="AI21" s="395">
        <f t="shared" ca="1" si="24"/>
        <v>0</v>
      </c>
      <c r="AJ21" s="395">
        <f t="shared" ca="1" si="25"/>
        <v>0</v>
      </c>
      <c r="AK21" s="395">
        <f t="shared" ca="1" si="26"/>
        <v>0</v>
      </c>
      <c r="AL21" s="395">
        <f t="shared" ca="1" si="27"/>
        <v>0</v>
      </c>
      <c r="AM21" s="395">
        <f t="shared" ca="1" si="28"/>
        <v>0</v>
      </c>
      <c r="AN21" s="395">
        <f t="shared" ca="1" si="29"/>
        <v>25000</v>
      </c>
      <c r="AO21" s="395">
        <f t="shared" ca="1" si="30"/>
        <v>0</v>
      </c>
      <c r="AP21" s="395">
        <f t="shared" ca="1" si="31"/>
        <v>0</v>
      </c>
      <c r="AQ21" s="395">
        <f t="shared" ca="1" si="32"/>
        <v>0</v>
      </c>
      <c r="AR21" s="395">
        <f t="shared" ca="1" si="33"/>
        <v>0</v>
      </c>
      <c r="AS21" s="395">
        <f t="shared" ca="1" si="34"/>
        <v>0</v>
      </c>
      <c r="AT21" s="395">
        <f t="shared" ca="1" si="35"/>
        <v>0</v>
      </c>
      <c r="AU21" s="395">
        <f t="shared" ca="1" si="36"/>
        <v>0</v>
      </c>
      <c r="AV21" s="395">
        <f t="shared" ca="1" si="37"/>
        <v>0</v>
      </c>
      <c r="AW21" s="395">
        <f t="shared" ca="1" si="38"/>
        <v>0</v>
      </c>
    </row>
    <row r="22" spans="1:49" s="392" customFormat="1" ht="12" customHeight="1">
      <c r="A22" s="63">
        <f t="array" aca="1" ref="A22" ca="1">IF(C22&lt;&gt;0,SUM(($C$11:C22&lt;&gt;0)*1),"")</f>
        <v>12</v>
      </c>
      <c r="B22" s="393">
        <f ca="1">IF(ROWS($1:12)&gt;COUNT(Dong7),"",OFFSET(TH!C$1,SMALL(Dong7,ROWS($1:12)),))</f>
        <v>41779</v>
      </c>
      <c r="C22" s="393" t="str">
        <f ca="1">IF(ROWS($1:12)&gt;COUNT(Dong7),"",OFFSET(TH!D$1,SMALL(Dong7,ROWS($1:12)),))</f>
        <v>GBN</v>
      </c>
      <c r="D22" s="393">
        <f ca="1">IF(ROWS($1:12)&gt;COUNT(Dong7),"",OFFSET(TH!E$1,SMALL(Dong7,ROWS($1:12)),))</f>
        <v>41779</v>
      </c>
      <c r="E22" s="443" t="str">
        <f ca="1">IF(ROWS($1:12)&gt;COUNT(Dong7),"",OFFSET(TH!F$1,SMALL(Dong7,ROWS($1:12)),))</f>
        <v xml:space="preserve">VAT Phí chuyển tiền </v>
      </c>
      <c r="F22" s="444">
        <f ca="1">IF(ROWS($1:12)&gt;COUNT(Dong7),"",OFFSET(TH!I$1,SMALL(Dong7,ROWS($1:12)),))</f>
        <v>2500</v>
      </c>
      <c r="G22" s="456" t="str">
        <f ca="1">IF(ROWS($1:12)&gt;COUNT(Dong7),"",OFFSET(TH!J$1,SMALL(Dong7,ROWS($1:12)),))</f>
        <v>1331</v>
      </c>
      <c r="H22" s="456" t="str">
        <f ca="1">IF(ROWS($1:12)&gt;COUNT(Dong7),"",OFFSET(TH!K$1,SMALL(Dong7,ROWS($1:12)),))</f>
        <v>1121</v>
      </c>
      <c r="I22" s="63">
        <f t="shared" ref="I22:I37" ca="1" si="42">A22</f>
        <v>12</v>
      </c>
      <c r="J22" s="395">
        <f t="shared" ca="1" si="1"/>
        <v>0</v>
      </c>
      <c r="K22" s="395">
        <f t="shared" ca="1" si="2"/>
        <v>0</v>
      </c>
      <c r="L22" s="395">
        <f t="shared" ca="1" si="3"/>
        <v>0</v>
      </c>
      <c r="M22" s="395">
        <f t="shared" ca="1" si="4"/>
        <v>2500</v>
      </c>
      <c r="N22" s="395">
        <f t="shared" ca="1" si="5"/>
        <v>2500</v>
      </c>
      <c r="O22" s="395">
        <f t="shared" ca="1" si="6"/>
        <v>0</v>
      </c>
      <c r="P22" s="395">
        <f t="shared" ca="1" si="7"/>
        <v>0</v>
      </c>
      <c r="Q22" s="395">
        <f t="shared" ca="1" si="8"/>
        <v>0</v>
      </c>
      <c r="R22" s="395">
        <f t="shared" ca="1" si="39"/>
        <v>0</v>
      </c>
      <c r="S22" s="395">
        <f t="shared" ca="1" si="40"/>
        <v>0</v>
      </c>
      <c r="T22" s="395">
        <f t="shared" ca="1" si="9"/>
        <v>0</v>
      </c>
      <c r="U22" s="395">
        <f t="shared" ca="1" si="10"/>
        <v>0</v>
      </c>
      <c r="V22" s="395">
        <f t="shared" ca="1" si="11"/>
        <v>0</v>
      </c>
      <c r="W22" s="395">
        <f t="shared" ca="1" si="12"/>
        <v>0</v>
      </c>
      <c r="X22" s="395">
        <f t="shared" ca="1" si="13"/>
        <v>0</v>
      </c>
      <c r="Y22" s="395">
        <f t="shared" ca="1" si="14"/>
        <v>0</v>
      </c>
      <c r="Z22" s="395">
        <f t="shared" ca="1" si="15"/>
        <v>0</v>
      </c>
      <c r="AA22" s="395">
        <f t="shared" ca="1" si="16"/>
        <v>0</v>
      </c>
      <c r="AB22" s="395">
        <f t="shared" ca="1" si="17"/>
        <v>0</v>
      </c>
      <c r="AC22" s="395">
        <f t="shared" ca="1" si="18"/>
        <v>0</v>
      </c>
      <c r="AD22" s="395">
        <f t="shared" ca="1" si="19"/>
        <v>0</v>
      </c>
      <c r="AE22" s="395">
        <f t="shared" ca="1" si="20"/>
        <v>0</v>
      </c>
      <c r="AF22" s="395">
        <f t="shared" ca="1" si="21"/>
        <v>0</v>
      </c>
      <c r="AG22" s="395">
        <f t="shared" ca="1" si="22"/>
        <v>0</v>
      </c>
      <c r="AH22" s="395">
        <f t="shared" ca="1" si="23"/>
        <v>0</v>
      </c>
      <c r="AI22" s="395">
        <f t="shared" ca="1" si="24"/>
        <v>0</v>
      </c>
      <c r="AJ22" s="395">
        <f t="shared" ca="1" si="25"/>
        <v>0</v>
      </c>
      <c r="AK22" s="395">
        <f t="shared" ca="1" si="26"/>
        <v>0</v>
      </c>
      <c r="AL22" s="395">
        <f t="shared" ca="1" si="27"/>
        <v>0</v>
      </c>
      <c r="AM22" s="395">
        <f t="shared" ca="1" si="28"/>
        <v>0</v>
      </c>
      <c r="AN22" s="395">
        <f t="shared" ca="1" si="29"/>
        <v>0</v>
      </c>
      <c r="AO22" s="395">
        <f t="shared" ca="1" si="30"/>
        <v>0</v>
      </c>
      <c r="AP22" s="395">
        <f t="shared" ca="1" si="31"/>
        <v>0</v>
      </c>
      <c r="AQ22" s="395">
        <f t="shared" ca="1" si="32"/>
        <v>0</v>
      </c>
      <c r="AR22" s="395">
        <f t="shared" ca="1" si="33"/>
        <v>0</v>
      </c>
      <c r="AS22" s="395">
        <f t="shared" ca="1" si="34"/>
        <v>0</v>
      </c>
      <c r="AT22" s="395">
        <f t="shared" ca="1" si="35"/>
        <v>0</v>
      </c>
      <c r="AU22" s="395">
        <f t="shared" ca="1" si="36"/>
        <v>0</v>
      </c>
      <c r="AV22" s="395">
        <f t="shared" ca="1" si="37"/>
        <v>0</v>
      </c>
      <c r="AW22" s="395">
        <f t="shared" ca="1" si="38"/>
        <v>0</v>
      </c>
    </row>
    <row r="23" spans="1:49" s="392" customFormat="1" ht="12" customHeight="1">
      <c r="A23" s="63">
        <f t="array" aca="1" ref="A23" ca="1">IF(C23&lt;&gt;0,SUM(($C$11:C23&lt;&gt;0)*1),"")</f>
        <v>13</v>
      </c>
      <c r="B23" s="393">
        <f ca="1">IF(ROWS($1:13)&gt;COUNT(Dong7),"",OFFSET(TH!C$1,SMALL(Dong7,ROWS($1:13)),))</f>
        <v>41780</v>
      </c>
      <c r="C23" s="393" t="str">
        <f ca="1">IF(ROWS($1:13)&gt;COUNT(Dong7),"",OFFSET(TH!D$1,SMALL(Dong7,ROWS($1:13)),))</f>
        <v>GBN</v>
      </c>
      <c r="D23" s="393">
        <f ca="1">IF(ROWS($1:13)&gt;COUNT(Dong7),"",OFFSET(TH!E$1,SMALL(Dong7,ROWS($1:13)),))</f>
        <v>41780</v>
      </c>
      <c r="E23" s="443" t="str">
        <f ca="1">IF(ROWS($1:13)&gt;COUNT(Dong7),"",OFFSET(TH!F$1,SMALL(Dong7,ROWS($1:13)),))</f>
        <v>Thanh toán CSHT - KCN Long Đức</v>
      </c>
      <c r="F23" s="444">
        <f ca="1">IF(ROWS($1:13)&gt;COUNT(Dong7),"",OFFSET(TH!I$1,SMALL(Dong7,ROWS($1:13)),))</f>
        <v>36432000</v>
      </c>
      <c r="G23" s="456" t="str">
        <f ca="1">IF(ROWS($1:13)&gt;COUNT(Dong7),"",OFFSET(TH!J$1,SMALL(Dong7,ROWS($1:13)),))</f>
        <v>331</v>
      </c>
      <c r="H23" s="456" t="str">
        <f ca="1">IF(ROWS($1:13)&gt;COUNT(Dong7),"",OFFSET(TH!K$1,SMALL(Dong7,ROWS($1:13)),))</f>
        <v>1121</v>
      </c>
      <c r="I23" s="63">
        <f t="shared" ca="1" si="42"/>
        <v>13</v>
      </c>
      <c r="J23" s="395">
        <f t="shared" ca="1" si="1"/>
        <v>0</v>
      </c>
      <c r="K23" s="395">
        <f t="shared" ca="1" si="2"/>
        <v>0</v>
      </c>
      <c r="L23" s="395">
        <f t="shared" ca="1" si="3"/>
        <v>0</v>
      </c>
      <c r="M23" s="395">
        <f t="shared" ca="1" si="4"/>
        <v>36432000</v>
      </c>
      <c r="N23" s="395">
        <f t="shared" ca="1" si="5"/>
        <v>0</v>
      </c>
      <c r="O23" s="395">
        <f t="shared" ca="1" si="6"/>
        <v>0</v>
      </c>
      <c r="P23" s="395">
        <f t="shared" ca="1" si="7"/>
        <v>0</v>
      </c>
      <c r="Q23" s="395">
        <f t="shared" ca="1" si="8"/>
        <v>0</v>
      </c>
      <c r="R23" s="395">
        <f t="shared" ca="1" si="39"/>
        <v>0</v>
      </c>
      <c r="S23" s="395">
        <f t="shared" ca="1" si="40"/>
        <v>0</v>
      </c>
      <c r="T23" s="395">
        <f t="shared" ca="1" si="9"/>
        <v>36432000</v>
      </c>
      <c r="U23" s="395">
        <f t="shared" ca="1" si="10"/>
        <v>0</v>
      </c>
      <c r="V23" s="395">
        <f t="shared" ca="1" si="11"/>
        <v>0</v>
      </c>
      <c r="W23" s="395">
        <f t="shared" ca="1" si="12"/>
        <v>0</v>
      </c>
      <c r="X23" s="395">
        <f t="shared" ca="1" si="13"/>
        <v>0</v>
      </c>
      <c r="Y23" s="395">
        <f t="shared" ca="1" si="14"/>
        <v>0</v>
      </c>
      <c r="Z23" s="395">
        <f t="shared" ca="1" si="15"/>
        <v>0</v>
      </c>
      <c r="AA23" s="395">
        <f t="shared" ca="1" si="16"/>
        <v>0</v>
      </c>
      <c r="AB23" s="395">
        <f t="shared" ca="1" si="17"/>
        <v>0</v>
      </c>
      <c r="AC23" s="395">
        <f t="shared" ca="1" si="18"/>
        <v>0</v>
      </c>
      <c r="AD23" s="395">
        <f t="shared" ca="1" si="19"/>
        <v>0</v>
      </c>
      <c r="AE23" s="395">
        <f t="shared" ca="1" si="20"/>
        <v>0</v>
      </c>
      <c r="AF23" s="395">
        <f t="shared" ca="1" si="21"/>
        <v>0</v>
      </c>
      <c r="AG23" s="395">
        <f t="shared" ca="1" si="22"/>
        <v>0</v>
      </c>
      <c r="AH23" s="395">
        <f t="shared" ca="1" si="23"/>
        <v>0</v>
      </c>
      <c r="AI23" s="395">
        <f t="shared" ca="1" si="24"/>
        <v>0</v>
      </c>
      <c r="AJ23" s="395">
        <f t="shared" ca="1" si="25"/>
        <v>0</v>
      </c>
      <c r="AK23" s="395">
        <f t="shared" ca="1" si="26"/>
        <v>0</v>
      </c>
      <c r="AL23" s="395">
        <f t="shared" ca="1" si="27"/>
        <v>0</v>
      </c>
      <c r="AM23" s="395">
        <f t="shared" ca="1" si="28"/>
        <v>0</v>
      </c>
      <c r="AN23" s="395">
        <f t="shared" ca="1" si="29"/>
        <v>0</v>
      </c>
      <c r="AO23" s="395">
        <f t="shared" ca="1" si="30"/>
        <v>0</v>
      </c>
      <c r="AP23" s="395">
        <f t="shared" ca="1" si="31"/>
        <v>0</v>
      </c>
      <c r="AQ23" s="395">
        <f t="shared" ca="1" si="32"/>
        <v>0</v>
      </c>
      <c r="AR23" s="395">
        <f t="shared" ca="1" si="33"/>
        <v>0</v>
      </c>
      <c r="AS23" s="395">
        <f t="shared" ca="1" si="34"/>
        <v>0</v>
      </c>
      <c r="AT23" s="395">
        <f t="shared" ca="1" si="35"/>
        <v>0</v>
      </c>
      <c r="AU23" s="395">
        <f t="shared" ca="1" si="36"/>
        <v>0</v>
      </c>
      <c r="AV23" s="395">
        <f t="shared" ca="1" si="37"/>
        <v>0</v>
      </c>
      <c r="AW23" s="395">
        <f t="shared" ca="1" si="38"/>
        <v>0</v>
      </c>
    </row>
    <row r="24" spans="1:49" s="392" customFormat="1" ht="12" customHeight="1">
      <c r="A24" s="63">
        <f t="array" aca="1" ref="A24" ca="1">IF(C24&lt;&gt;0,SUM(($C$11:C24&lt;&gt;0)*1),"")</f>
        <v>14</v>
      </c>
      <c r="B24" s="393">
        <f ca="1">IF(ROWS($1:14)&gt;COUNT(Dong7),"",OFFSET(TH!C$1,SMALL(Dong7,ROWS($1:14)),))</f>
        <v>41780</v>
      </c>
      <c r="C24" s="393" t="str">
        <f ca="1">IF(ROWS($1:14)&gt;COUNT(Dong7),"",OFFSET(TH!D$1,SMALL(Dong7,ROWS($1:14)),))</f>
        <v>GBN</v>
      </c>
      <c r="D24" s="393">
        <f ca="1">IF(ROWS($1:14)&gt;COUNT(Dong7),"",OFFSET(TH!E$1,SMALL(Dong7,ROWS($1:14)),))</f>
        <v>41780</v>
      </c>
      <c r="E24" s="443" t="str">
        <f ca="1">IF(ROWS($1:14)&gt;COUNT(Dong7),"",OFFSET(TH!F$1,SMALL(Dong7,ROWS($1:14)),))</f>
        <v xml:space="preserve">Phí chuyển tiền </v>
      </c>
      <c r="F24" s="444">
        <f ca="1">IF(ROWS($1:14)&gt;COUNT(Dong7),"",OFFSET(TH!I$1,SMALL(Dong7,ROWS($1:14)),))</f>
        <v>45000</v>
      </c>
      <c r="G24" s="456" t="str">
        <f ca="1">IF(ROWS($1:14)&gt;COUNT(Dong7),"",OFFSET(TH!J$1,SMALL(Dong7,ROWS($1:14)),))</f>
        <v>642</v>
      </c>
      <c r="H24" s="456" t="str">
        <f ca="1">IF(ROWS($1:14)&gt;COUNT(Dong7),"",OFFSET(TH!K$1,SMALL(Dong7,ROWS($1:14)),))</f>
        <v>1121</v>
      </c>
      <c r="I24" s="63">
        <f t="shared" ca="1" si="42"/>
        <v>14</v>
      </c>
      <c r="J24" s="395">
        <f t="shared" ca="1" si="1"/>
        <v>0</v>
      </c>
      <c r="K24" s="395">
        <f t="shared" ca="1" si="2"/>
        <v>0</v>
      </c>
      <c r="L24" s="395">
        <f t="shared" ca="1" si="3"/>
        <v>0</v>
      </c>
      <c r="M24" s="395">
        <f t="shared" ca="1" si="4"/>
        <v>45000</v>
      </c>
      <c r="N24" s="395">
        <f t="shared" ca="1" si="5"/>
        <v>0</v>
      </c>
      <c r="O24" s="395">
        <f t="shared" ca="1" si="6"/>
        <v>0</v>
      </c>
      <c r="P24" s="395">
        <f t="shared" ca="1" si="7"/>
        <v>0</v>
      </c>
      <c r="Q24" s="395">
        <f t="shared" ca="1" si="8"/>
        <v>0</v>
      </c>
      <c r="R24" s="395">
        <f t="shared" ca="1" si="39"/>
        <v>0</v>
      </c>
      <c r="S24" s="395">
        <f t="shared" ca="1" si="40"/>
        <v>0</v>
      </c>
      <c r="T24" s="395">
        <f t="shared" ca="1" si="9"/>
        <v>0</v>
      </c>
      <c r="U24" s="395">
        <f t="shared" ca="1" si="10"/>
        <v>0</v>
      </c>
      <c r="V24" s="395">
        <f t="shared" ca="1" si="11"/>
        <v>0</v>
      </c>
      <c r="W24" s="395">
        <f t="shared" ca="1" si="12"/>
        <v>0</v>
      </c>
      <c r="X24" s="395">
        <f t="shared" ca="1" si="13"/>
        <v>0</v>
      </c>
      <c r="Y24" s="395">
        <f t="shared" ca="1" si="14"/>
        <v>0</v>
      </c>
      <c r="Z24" s="395">
        <f t="shared" ca="1" si="15"/>
        <v>0</v>
      </c>
      <c r="AA24" s="395">
        <f t="shared" ca="1" si="16"/>
        <v>0</v>
      </c>
      <c r="AB24" s="395">
        <f t="shared" ca="1" si="17"/>
        <v>0</v>
      </c>
      <c r="AC24" s="395">
        <f t="shared" ca="1" si="18"/>
        <v>0</v>
      </c>
      <c r="AD24" s="395">
        <f t="shared" ca="1" si="19"/>
        <v>0</v>
      </c>
      <c r="AE24" s="395">
        <f t="shared" ca="1" si="20"/>
        <v>0</v>
      </c>
      <c r="AF24" s="395">
        <f t="shared" ca="1" si="21"/>
        <v>0</v>
      </c>
      <c r="AG24" s="395">
        <f t="shared" ca="1" si="22"/>
        <v>0</v>
      </c>
      <c r="AH24" s="395">
        <f t="shared" ca="1" si="23"/>
        <v>0</v>
      </c>
      <c r="AI24" s="395">
        <f t="shared" ca="1" si="24"/>
        <v>0</v>
      </c>
      <c r="AJ24" s="395">
        <f t="shared" ca="1" si="25"/>
        <v>0</v>
      </c>
      <c r="AK24" s="395">
        <f t="shared" ca="1" si="26"/>
        <v>0</v>
      </c>
      <c r="AL24" s="395">
        <f t="shared" ca="1" si="27"/>
        <v>0</v>
      </c>
      <c r="AM24" s="395">
        <f t="shared" ca="1" si="28"/>
        <v>0</v>
      </c>
      <c r="AN24" s="395">
        <f t="shared" ca="1" si="29"/>
        <v>45000</v>
      </c>
      <c r="AO24" s="395">
        <f t="shared" ca="1" si="30"/>
        <v>0</v>
      </c>
      <c r="AP24" s="395">
        <f t="shared" ca="1" si="31"/>
        <v>0</v>
      </c>
      <c r="AQ24" s="395">
        <f t="shared" ca="1" si="32"/>
        <v>0</v>
      </c>
      <c r="AR24" s="395">
        <f t="shared" ca="1" si="33"/>
        <v>0</v>
      </c>
      <c r="AS24" s="395">
        <f t="shared" ca="1" si="34"/>
        <v>0</v>
      </c>
      <c r="AT24" s="395">
        <f t="shared" ca="1" si="35"/>
        <v>0</v>
      </c>
      <c r="AU24" s="395">
        <f t="shared" ca="1" si="36"/>
        <v>0</v>
      </c>
      <c r="AV24" s="395">
        <f t="shared" ca="1" si="37"/>
        <v>0</v>
      </c>
      <c r="AW24" s="395">
        <f t="shared" ca="1" si="38"/>
        <v>0</v>
      </c>
    </row>
    <row r="25" spans="1:49" s="392" customFormat="1" ht="12" customHeight="1">
      <c r="A25" s="63">
        <f t="array" aca="1" ref="A25" ca="1">IF(C25&lt;&gt;0,SUM(($C$11:C25&lt;&gt;0)*1),"")</f>
        <v>15</v>
      </c>
      <c r="B25" s="393">
        <f ca="1">IF(ROWS($1:15)&gt;COUNT(Dong7),"",OFFSET(TH!C$1,SMALL(Dong7,ROWS($1:15)),))</f>
        <v>41780</v>
      </c>
      <c r="C25" s="393" t="str">
        <f ca="1">IF(ROWS($1:15)&gt;COUNT(Dong7),"",OFFSET(TH!D$1,SMALL(Dong7,ROWS($1:15)),))</f>
        <v>GBN</v>
      </c>
      <c r="D25" s="393">
        <f ca="1">IF(ROWS($1:15)&gt;COUNT(Dong7),"",OFFSET(TH!E$1,SMALL(Dong7,ROWS($1:15)),))</f>
        <v>41780</v>
      </c>
      <c r="E25" s="443" t="str">
        <f ca="1">IF(ROWS($1:15)&gt;COUNT(Dong7),"",OFFSET(TH!F$1,SMALL(Dong7,ROWS($1:15)),))</f>
        <v xml:space="preserve">VAT Phí chuyển tiền </v>
      </c>
      <c r="F25" s="444">
        <f ca="1">IF(ROWS($1:15)&gt;COUNT(Dong7),"",OFFSET(TH!I$1,SMALL(Dong7,ROWS($1:15)),))</f>
        <v>4500</v>
      </c>
      <c r="G25" s="456" t="str">
        <f ca="1">IF(ROWS($1:15)&gt;COUNT(Dong7),"",OFFSET(TH!J$1,SMALL(Dong7,ROWS($1:15)),))</f>
        <v>1331</v>
      </c>
      <c r="H25" s="456" t="str">
        <f ca="1">IF(ROWS($1:15)&gt;COUNT(Dong7),"",OFFSET(TH!K$1,SMALL(Dong7,ROWS($1:15)),))</f>
        <v>1121</v>
      </c>
      <c r="I25" s="63">
        <f t="shared" ca="1" si="42"/>
        <v>15</v>
      </c>
      <c r="J25" s="395">
        <f t="shared" ca="1" si="1"/>
        <v>0</v>
      </c>
      <c r="K25" s="395">
        <f t="shared" ca="1" si="2"/>
        <v>0</v>
      </c>
      <c r="L25" s="395">
        <f t="shared" ca="1" si="3"/>
        <v>0</v>
      </c>
      <c r="M25" s="395">
        <f t="shared" ca="1" si="4"/>
        <v>4500</v>
      </c>
      <c r="N25" s="395">
        <f t="shared" ca="1" si="5"/>
        <v>4500</v>
      </c>
      <c r="O25" s="395">
        <f t="shared" ca="1" si="6"/>
        <v>0</v>
      </c>
      <c r="P25" s="395">
        <f t="shared" ca="1" si="7"/>
        <v>0</v>
      </c>
      <c r="Q25" s="395">
        <f t="shared" ca="1" si="8"/>
        <v>0</v>
      </c>
      <c r="R25" s="395">
        <f t="shared" ca="1" si="39"/>
        <v>0</v>
      </c>
      <c r="S25" s="395">
        <f t="shared" ca="1" si="40"/>
        <v>0</v>
      </c>
      <c r="T25" s="395">
        <f t="shared" ca="1" si="9"/>
        <v>0</v>
      </c>
      <c r="U25" s="395">
        <f t="shared" ca="1" si="10"/>
        <v>0</v>
      </c>
      <c r="V25" s="395">
        <f t="shared" ca="1" si="11"/>
        <v>0</v>
      </c>
      <c r="W25" s="395">
        <f t="shared" ca="1" si="12"/>
        <v>0</v>
      </c>
      <c r="X25" s="395">
        <f t="shared" ca="1" si="13"/>
        <v>0</v>
      </c>
      <c r="Y25" s="395">
        <f t="shared" ca="1" si="14"/>
        <v>0</v>
      </c>
      <c r="Z25" s="395">
        <f t="shared" ca="1" si="15"/>
        <v>0</v>
      </c>
      <c r="AA25" s="395">
        <f t="shared" ca="1" si="16"/>
        <v>0</v>
      </c>
      <c r="AB25" s="395">
        <f t="shared" ca="1" si="17"/>
        <v>0</v>
      </c>
      <c r="AC25" s="395">
        <f t="shared" ca="1" si="18"/>
        <v>0</v>
      </c>
      <c r="AD25" s="395">
        <f t="shared" ca="1" si="19"/>
        <v>0</v>
      </c>
      <c r="AE25" s="395">
        <f t="shared" ca="1" si="20"/>
        <v>0</v>
      </c>
      <c r="AF25" s="395">
        <f t="shared" ca="1" si="21"/>
        <v>0</v>
      </c>
      <c r="AG25" s="395">
        <f t="shared" ca="1" si="22"/>
        <v>0</v>
      </c>
      <c r="AH25" s="395">
        <f t="shared" ca="1" si="23"/>
        <v>0</v>
      </c>
      <c r="AI25" s="395">
        <f t="shared" ca="1" si="24"/>
        <v>0</v>
      </c>
      <c r="AJ25" s="395">
        <f t="shared" ca="1" si="25"/>
        <v>0</v>
      </c>
      <c r="AK25" s="395">
        <f t="shared" ca="1" si="26"/>
        <v>0</v>
      </c>
      <c r="AL25" s="395">
        <f t="shared" ca="1" si="27"/>
        <v>0</v>
      </c>
      <c r="AM25" s="395">
        <f t="shared" ca="1" si="28"/>
        <v>0</v>
      </c>
      <c r="AN25" s="395">
        <f t="shared" ca="1" si="29"/>
        <v>0</v>
      </c>
      <c r="AO25" s="395">
        <f t="shared" ca="1" si="30"/>
        <v>0</v>
      </c>
      <c r="AP25" s="395">
        <f t="shared" ca="1" si="31"/>
        <v>0</v>
      </c>
      <c r="AQ25" s="395">
        <f t="shared" ca="1" si="32"/>
        <v>0</v>
      </c>
      <c r="AR25" s="395">
        <f t="shared" ca="1" si="33"/>
        <v>0</v>
      </c>
      <c r="AS25" s="395">
        <f t="shared" ca="1" si="34"/>
        <v>0</v>
      </c>
      <c r="AT25" s="395">
        <f t="shared" ca="1" si="35"/>
        <v>0</v>
      </c>
      <c r="AU25" s="395">
        <f t="shared" ca="1" si="36"/>
        <v>0</v>
      </c>
      <c r="AV25" s="395">
        <f t="shared" ca="1" si="37"/>
        <v>0</v>
      </c>
      <c r="AW25" s="395">
        <f t="shared" ca="1" si="38"/>
        <v>0</v>
      </c>
    </row>
    <row r="26" spans="1:49" s="392" customFormat="1" ht="12" customHeight="1">
      <c r="A26" s="63">
        <f t="array" aca="1" ref="A26" ca="1">IF(C26&lt;&gt;0,SUM(($C$11:C26&lt;&gt;0)*1),"")</f>
        <v>16</v>
      </c>
      <c r="B26" s="393">
        <f ca="1">IF(ROWS($1:16)&gt;COUNT(Dong7),"",OFFSET(TH!C$1,SMALL(Dong7,ROWS($1:16)),))</f>
        <v>41785</v>
      </c>
      <c r="C26" s="393" t="str">
        <f ca="1">IF(ROWS($1:16)&gt;COUNT(Dong7),"",OFFSET(TH!D$1,SMALL(Dong7,ROWS($1:16)),))</f>
        <v>CTGS</v>
      </c>
      <c r="D26" s="393">
        <f ca="1">IF(ROWS($1:16)&gt;COUNT(Dong7),"",OFFSET(TH!E$1,SMALL(Dong7,ROWS($1:16)),))</f>
        <v>41785</v>
      </c>
      <c r="E26" s="443" t="str">
        <f ca="1">IF(ROWS($1:16)&gt;COUNT(Dong7),"",OFFSET(TH!F$1,SMALL(Dong7,ROWS($1:16)),))</f>
        <v>Thuê quyền SDĐ - KCN Long Đức 08/03/14-08/03/15</v>
      </c>
      <c r="F26" s="444">
        <f ca="1">IF(ROWS($1:16)&gt;COUNT(Dong7),"",OFFSET(TH!I$1,SMALL(Dong7,ROWS($1:16)),))</f>
        <v>33120000</v>
      </c>
      <c r="G26" s="456" t="str">
        <f ca="1">IF(ROWS($1:16)&gt;COUNT(Dong7),"",OFFSET(TH!J$1,SMALL(Dong7,ROWS($1:16)),))</f>
        <v>642</v>
      </c>
      <c r="H26" s="456" t="str">
        <f ca="1">IF(ROWS($1:16)&gt;COUNT(Dong7),"",OFFSET(TH!K$1,SMALL(Dong7,ROWS($1:16)),))</f>
        <v>331</v>
      </c>
      <c r="I26" s="63">
        <f t="shared" ca="1" si="42"/>
        <v>16</v>
      </c>
      <c r="J26" s="395">
        <f t="shared" ca="1" si="1"/>
        <v>0</v>
      </c>
      <c r="K26" s="395">
        <f t="shared" ca="1" si="2"/>
        <v>0</v>
      </c>
      <c r="L26" s="395">
        <f t="shared" ca="1" si="3"/>
        <v>0</v>
      </c>
      <c r="M26" s="395">
        <f t="shared" ca="1" si="4"/>
        <v>0</v>
      </c>
      <c r="N26" s="395">
        <f t="shared" ca="1" si="5"/>
        <v>0</v>
      </c>
      <c r="O26" s="395">
        <f t="shared" ca="1" si="6"/>
        <v>0</v>
      </c>
      <c r="P26" s="395">
        <f t="shared" ca="1" si="7"/>
        <v>0</v>
      </c>
      <c r="Q26" s="395">
        <f t="shared" ca="1" si="8"/>
        <v>0</v>
      </c>
      <c r="R26" s="395">
        <f t="shared" ca="1" si="39"/>
        <v>0</v>
      </c>
      <c r="S26" s="395">
        <f t="shared" ca="1" si="40"/>
        <v>0</v>
      </c>
      <c r="T26" s="395">
        <f t="shared" ca="1" si="9"/>
        <v>0</v>
      </c>
      <c r="U26" s="395">
        <f t="shared" ca="1" si="10"/>
        <v>33120000</v>
      </c>
      <c r="V26" s="395">
        <f t="shared" ca="1" si="11"/>
        <v>0</v>
      </c>
      <c r="W26" s="395">
        <f t="shared" ca="1" si="12"/>
        <v>0</v>
      </c>
      <c r="X26" s="395">
        <f t="shared" ca="1" si="13"/>
        <v>0</v>
      </c>
      <c r="Y26" s="395">
        <f t="shared" ca="1" si="14"/>
        <v>0</v>
      </c>
      <c r="Z26" s="395">
        <f t="shared" ca="1" si="15"/>
        <v>0</v>
      </c>
      <c r="AA26" s="395">
        <f t="shared" ca="1" si="16"/>
        <v>0</v>
      </c>
      <c r="AB26" s="395">
        <f t="shared" ca="1" si="17"/>
        <v>0</v>
      </c>
      <c r="AC26" s="395">
        <f t="shared" ca="1" si="18"/>
        <v>0</v>
      </c>
      <c r="AD26" s="395">
        <f t="shared" ca="1" si="19"/>
        <v>0</v>
      </c>
      <c r="AE26" s="395">
        <f t="shared" ca="1" si="20"/>
        <v>0</v>
      </c>
      <c r="AF26" s="395">
        <f t="shared" ca="1" si="21"/>
        <v>0</v>
      </c>
      <c r="AG26" s="395">
        <f t="shared" ca="1" si="22"/>
        <v>0</v>
      </c>
      <c r="AH26" s="395">
        <f t="shared" ca="1" si="23"/>
        <v>0</v>
      </c>
      <c r="AI26" s="395">
        <f t="shared" ca="1" si="24"/>
        <v>0</v>
      </c>
      <c r="AJ26" s="395">
        <f t="shared" ca="1" si="25"/>
        <v>0</v>
      </c>
      <c r="AK26" s="395">
        <f t="shared" ca="1" si="26"/>
        <v>0</v>
      </c>
      <c r="AL26" s="395">
        <f t="shared" ca="1" si="27"/>
        <v>0</v>
      </c>
      <c r="AM26" s="395">
        <f t="shared" ca="1" si="28"/>
        <v>0</v>
      </c>
      <c r="AN26" s="395">
        <f t="shared" ca="1" si="29"/>
        <v>33120000</v>
      </c>
      <c r="AO26" s="395">
        <f t="shared" ca="1" si="30"/>
        <v>0</v>
      </c>
      <c r="AP26" s="395">
        <f t="shared" ca="1" si="31"/>
        <v>0</v>
      </c>
      <c r="AQ26" s="395">
        <f t="shared" ca="1" si="32"/>
        <v>0</v>
      </c>
      <c r="AR26" s="395">
        <f t="shared" ca="1" si="33"/>
        <v>0</v>
      </c>
      <c r="AS26" s="395">
        <f t="shared" ca="1" si="34"/>
        <v>0</v>
      </c>
      <c r="AT26" s="395">
        <f t="shared" ca="1" si="35"/>
        <v>0</v>
      </c>
      <c r="AU26" s="395">
        <f t="shared" ca="1" si="36"/>
        <v>0</v>
      </c>
      <c r="AV26" s="395">
        <f t="shared" ca="1" si="37"/>
        <v>0</v>
      </c>
      <c r="AW26" s="395">
        <f t="shared" ca="1" si="38"/>
        <v>0</v>
      </c>
    </row>
    <row r="27" spans="1:49" s="392" customFormat="1" ht="12" customHeight="1">
      <c r="A27" s="63">
        <f t="array" aca="1" ref="A27" ca="1">IF(C27&lt;&gt;0,SUM(($C$11:C27&lt;&gt;0)*1),"")</f>
        <v>17</v>
      </c>
      <c r="B27" s="393">
        <f ca="1">IF(ROWS($1:17)&gt;COUNT(Dong7),"",OFFSET(TH!C$1,SMALL(Dong7,ROWS($1:17)),))</f>
        <v>41785</v>
      </c>
      <c r="C27" s="393" t="str">
        <f ca="1">IF(ROWS($1:17)&gt;COUNT(Dong7),"",OFFSET(TH!D$1,SMALL(Dong7,ROWS($1:17)),))</f>
        <v>CTGS</v>
      </c>
      <c r="D27" s="393">
        <f ca="1">IF(ROWS($1:17)&gt;COUNT(Dong7),"",OFFSET(TH!E$1,SMALL(Dong7,ROWS($1:17)),))</f>
        <v>41785</v>
      </c>
      <c r="E27" s="443" t="str">
        <f ca="1">IF(ROWS($1:17)&gt;COUNT(Dong7),"",OFFSET(TH!F$1,SMALL(Dong7,ROWS($1:17)),))</f>
        <v>VAT CSHT - KCN Long Đức</v>
      </c>
      <c r="F27" s="444">
        <f ca="1">IF(ROWS($1:17)&gt;COUNT(Dong7),"",OFFSET(TH!I$1,SMALL(Dong7,ROWS($1:17)),))</f>
        <v>3312000</v>
      </c>
      <c r="G27" s="456" t="str">
        <f ca="1">IF(ROWS($1:17)&gt;COUNT(Dong7),"",OFFSET(TH!J$1,SMALL(Dong7,ROWS($1:17)),))</f>
        <v>1331</v>
      </c>
      <c r="H27" s="456" t="str">
        <f ca="1">IF(ROWS($1:17)&gt;COUNT(Dong7),"",OFFSET(TH!K$1,SMALL(Dong7,ROWS($1:17)),))</f>
        <v>331</v>
      </c>
      <c r="I27" s="63">
        <f t="shared" ca="1" si="42"/>
        <v>17</v>
      </c>
      <c r="J27" s="395">
        <f t="shared" ca="1" si="1"/>
        <v>0</v>
      </c>
      <c r="K27" s="395">
        <f t="shared" ca="1" si="2"/>
        <v>0</v>
      </c>
      <c r="L27" s="395">
        <f t="shared" ca="1" si="3"/>
        <v>0</v>
      </c>
      <c r="M27" s="395">
        <f t="shared" ca="1" si="4"/>
        <v>0</v>
      </c>
      <c r="N27" s="395">
        <f t="shared" ca="1" si="5"/>
        <v>3312000</v>
      </c>
      <c r="O27" s="395">
        <f t="shared" ca="1" si="6"/>
        <v>0</v>
      </c>
      <c r="P27" s="395">
        <f t="shared" ca="1" si="7"/>
        <v>0</v>
      </c>
      <c r="Q27" s="395">
        <f t="shared" ca="1" si="8"/>
        <v>0</v>
      </c>
      <c r="R27" s="395">
        <f t="shared" ca="1" si="39"/>
        <v>0</v>
      </c>
      <c r="S27" s="395">
        <f t="shared" ca="1" si="40"/>
        <v>0</v>
      </c>
      <c r="T27" s="395">
        <f t="shared" ca="1" si="9"/>
        <v>0</v>
      </c>
      <c r="U27" s="395">
        <f t="shared" ca="1" si="10"/>
        <v>3312000</v>
      </c>
      <c r="V27" s="395">
        <f t="shared" ca="1" si="11"/>
        <v>0</v>
      </c>
      <c r="W27" s="395">
        <f t="shared" ca="1" si="12"/>
        <v>0</v>
      </c>
      <c r="X27" s="395">
        <f t="shared" ca="1" si="13"/>
        <v>0</v>
      </c>
      <c r="Y27" s="395">
        <f t="shared" ca="1" si="14"/>
        <v>0</v>
      </c>
      <c r="Z27" s="395">
        <f t="shared" ca="1" si="15"/>
        <v>0</v>
      </c>
      <c r="AA27" s="395">
        <f t="shared" ca="1" si="16"/>
        <v>0</v>
      </c>
      <c r="AB27" s="395">
        <f t="shared" ca="1" si="17"/>
        <v>0</v>
      </c>
      <c r="AC27" s="395">
        <f t="shared" ca="1" si="18"/>
        <v>0</v>
      </c>
      <c r="AD27" s="395">
        <f t="shared" ca="1" si="19"/>
        <v>0</v>
      </c>
      <c r="AE27" s="395">
        <f t="shared" ca="1" si="20"/>
        <v>0</v>
      </c>
      <c r="AF27" s="395">
        <f t="shared" ca="1" si="21"/>
        <v>0</v>
      </c>
      <c r="AG27" s="395">
        <f t="shared" ca="1" si="22"/>
        <v>0</v>
      </c>
      <c r="AH27" s="395">
        <f t="shared" ca="1" si="23"/>
        <v>0</v>
      </c>
      <c r="AI27" s="395">
        <f t="shared" ca="1" si="24"/>
        <v>0</v>
      </c>
      <c r="AJ27" s="395">
        <f t="shared" ca="1" si="25"/>
        <v>0</v>
      </c>
      <c r="AK27" s="395">
        <f t="shared" ca="1" si="26"/>
        <v>0</v>
      </c>
      <c r="AL27" s="395">
        <f t="shared" ca="1" si="27"/>
        <v>0</v>
      </c>
      <c r="AM27" s="395">
        <f t="shared" ca="1" si="28"/>
        <v>0</v>
      </c>
      <c r="AN27" s="395">
        <f t="shared" ca="1" si="29"/>
        <v>0</v>
      </c>
      <c r="AO27" s="395">
        <f t="shared" ca="1" si="30"/>
        <v>0</v>
      </c>
      <c r="AP27" s="395">
        <f t="shared" ca="1" si="31"/>
        <v>0</v>
      </c>
      <c r="AQ27" s="395">
        <f t="shared" ca="1" si="32"/>
        <v>0</v>
      </c>
      <c r="AR27" s="395">
        <f t="shared" ca="1" si="33"/>
        <v>0</v>
      </c>
      <c r="AS27" s="395">
        <f t="shared" ca="1" si="34"/>
        <v>0</v>
      </c>
      <c r="AT27" s="395">
        <f t="shared" ca="1" si="35"/>
        <v>0</v>
      </c>
      <c r="AU27" s="395">
        <f t="shared" ca="1" si="36"/>
        <v>0</v>
      </c>
      <c r="AV27" s="395">
        <f t="shared" ca="1" si="37"/>
        <v>0</v>
      </c>
      <c r="AW27" s="395">
        <f t="shared" ca="1" si="38"/>
        <v>0</v>
      </c>
    </row>
    <row r="28" spans="1:49" s="392" customFormat="1" ht="12" customHeight="1">
      <c r="A28" s="63">
        <f t="array" aca="1" ref="A28" ca="1">IF(C28&lt;&gt;0,SUM(($C$11:C28&lt;&gt;0)*1),"")</f>
        <v>18</v>
      </c>
      <c r="B28" s="393">
        <f ca="1">IF(ROWS($1:18)&gt;COUNT(Dong7),"",OFFSET(TH!C$1,SMALL(Dong7,ROWS($1:18)),))</f>
        <v>41810</v>
      </c>
      <c r="C28" s="393" t="str">
        <f ca="1">IF(ROWS($1:18)&gt;COUNT(Dong7),"",OFFSET(TH!D$1,SMALL(Dong7,ROWS($1:18)),))</f>
        <v>C03</v>
      </c>
      <c r="D28" s="393">
        <f ca="1">IF(ROWS($1:18)&gt;COUNT(Dong7),"",OFFSET(TH!E$1,SMALL(Dong7,ROWS($1:18)),))</f>
        <v>41810</v>
      </c>
      <c r="E28" s="443" t="str">
        <f ca="1">IF(ROWS($1:18)&gt;COUNT(Dong7),"",OFFSET(TH!F$1,SMALL(Dong7,ROWS($1:18)),))</f>
        <v>Nộp tiền mặt vào tài khoản ngân hàng</v>
      </c>
      <c r="F28" s="444">
        <f ca="1">IF(ROWS($1:18)&gt;COUNT(Dong7),"",OFFSET(TH!I$1,SMALL(Dong7,ROWS($1:18)),))</f>
        <v>30000000</v>
      </c>
      <c r="G28" s="456" t="str">
        <f ca="1">IF(ROWS($1:18)&gt;COUNT(Dong7),"",OFFSET(TH!J$1,SMALL(Dong7,ROWS($1:18)),))</f>
        <v>1121</v>
      </c>
      <c r="H28" s="456" t="str">
        <f ca="1">IF(ROWS($1:18)&gt;COUNT(Dong7),"",OFFSET(TH!K$1,SMALL(Dong7,ROWS($1:18)),))</f>
        <v>1111</v>
      </c>
      <c r="I28" s="63">
        <f t="shared" ca="1" si="42"/>
        <v>18</v>
      </c>
      <c r="J28" s="395">
        <f t="shared" ca="1" si="1"/>
        <v>0</v>
      </c>
      <c r="K28" s="395">
        <f t="shared" ca="1" si="2"/>
        <v>30000000</v>
      </c>
      <c r="L28" s="395">
        <f t="shared" ca="1" si="3"/>
        <v>30000000</v>
      </c>
      <c r="M28" s="395">
        <f t="shared" ca="1" si="4"/>
        <v>0</v>
      </c>
      <c r="N28" s="395">
        <f t="shared" ca="1" si="5"/>
        <v>0</v>
      </c>
      <c r="O28" s="395">
        <f t="shared" ca="1" si="6"/>
        <v>0</v>
      </c>
      <c r="P28" s="395">
        <f t="shared" ca="1" si="7"/>
        <v>0</v>
      </c>
      <c r="Q28" s="395">
        <f t="shared" ca="1" si="8"/>
        <v>0</v>
      </c>
      <c r="R28" s="395">
        <f t="shared" ca="1" si="39"/>
        <v>0</v>
      </c>
      <c r="S28" s="395">
        <f t="shared" ca="1" si="40"/>
        <v>0</v>
      </c>
      <c r="T28" s="395">
        <f t="shared" ca="1" si="9"/>
        <v>0</v>
      </c>
      <c r="U28" s="395">
        <f t="shared" ca="1" si="10"/>
        <v>0</v>
      </c>
      <c r="V28" s="395">
        <f t="shared" ca="1" si="11"/>
        <v>0</v>
      </c>
      <c r="W28" s="395">
        <f t="shared" ca="1" si="12"/>
        <v>0</v>
      </c>
      <c r="X28" s="395">
        <f t="shared" ca="1" si="13"/>
        <v>0</v>
      </c>
      <c r="Y28" s="395">
        <f t="shared" ca="1" si="14"/>
        <v>0</v>
      </c>
      <c r="Z28" s="395">
        <f t="shared" ca="1" si="15"/>
        <v>0</v>
      </c>
      <c r="AA28" s="395">
        <f t="shared" ca="1" si="16"/>
        <v>0</v>
      </c>
      <c r="AB28" s="395">
        <f t="shared" ca="1" si="17"/>
        <v>0</v>
      </c>
      <c r="AC28" s="395">
        <f t="shared" ca="1" si="18"/>
        <v>0</v>
      </c>
      <c r="AD28" s="395">
        <f t="shared" ca="1" si="19"/>
        <v>0</v>
      </c>
      <c r="AE28" s="395">
        <f t="shared" ca="1" si="20"/>
        <v>0</v>
      </c>
      <c r="AF28" s="395">
        <f t="shared" ca="1" si="21"/>
        <v>0</v>
      </c>
      <c r="AG28" s="395">
        <f t="shared" ca="1" si="22"/>
        <v>0</v>
      </c>
      <c r="AH28" s="395">
        <f t="shared" ca="1" si="23"/>
        <v>0</v>
      </c>
      <c r="AI28" s="395">
        <f t="shared" ca="1" si="24"/>
        <v>0</v>
      </c>
      <c r="AJ28" s="395">
        <f t="shared" ca="1" si="25"/>
        <v>0</v>
      </c>
      <c r="AK28" s="395">
        <f t="shared" ca="1" si="26"/>
        <v>0</v>
      </c>
      <c r="AL28" s="395">
        <f t="shared" ca="1" si="27"/>
        <v>0</v>
      </c>
      <c r="AM28" s="395">
        <f t="shared" ca="1" si="28"/>
        <v>0</v>
      </c>
      <c r="AN28" s="395">
        <f t="shared" ca="1" si="29"/>
        <v>0</v>
      </c>
      <c r="AO28" s="395">
        <f t="shared" ca="1" si="30"/>
        <v>0</v>
      </c>
      <c r="AP28" s="395">
        <f t="shared" ca="1" si="31"/>
        <v>0</v>
      </c>
      <c r="AQ28" s="395">
        <f t="shared" ca="1" si="32"/>
        <v>0</v>
      </c>
      <c r="AR28" s="395">
        <f t="shared" ca="1" si="33"/>
        <v>0</v>
      </c>
      <c r="AS28" s="395">
        <f t="shared" ca="1" si="34"/>
        <v>0</v>
      </c>
      <c r="AT28" s="395">
        <f t="shared" ca="1" si="35"/>
        <v>0</v>
      </c>
      <c r="AU28" s="395">
        <f t="shared" ca="1" si="36"/>
        <v>0</v>
      </c>
      <c r="AV28" s="395">
        <f t="shared" ca="1" si="37"/>
        <v>0</v>
      </c>
      <c r="AW28" s="395">
        <f t="shared" ca="1" si="38"/>
        <v>0</v>
      </c>
    </row>
    <row r="29" spans="1:49" s="392" customFormat="1" ht="12" customHeight="1">
      <c r="A29" s="63">
        <f t="array" aca="1" ref="A29" ca="1">IF(C29&lt;&gt;0,SUM(($C$11:C29&lt;&gt;0)*1),"")</f>
        <v>19</v>
      </c>
      <c r="B29" s="393">
        <f ca="1">IF(ROWS($1:19)&gt;COUNT(Dong7),"",OFFSET(TH!C$1,SMALL(Dong7,ROWS($1:19)),))</f>
        <v>41810</v>
      </c>
      <c r="C29" s="393" t="str">
        <f ca="1">IF(ROWS($1:19)&gt;COUNT(Dong7),"",OFFSET(TH!D$1,SMALL(Dong7,ROWS($1:19)),))</f>
        <v>GBN</v>
      </c>
      <c r="D29" s="393">
        <f ca="1">IF(ROWS($1:19)&gt;COUNT(Dong7),"",OFFSET(TH!E$1,SMALL(Dong7,ROWS($1:19)),))</f>
        <v>41810</v>
      </c>
      <c r="E29" s="443" t="str">
        <f ca="1">IF(ROWS($1:19)&gt;COUNT(Dong7),"",OFFSET(TH!F$1,SMALL(Dong7,ROWS($1:19)),))</f>
        <v>Phí duy trì DV SMS - 0903921945</v>
      </c>
      <c r="F29" s="444">
        <f ca="1">IF(ROWS($1:19)&gt;COUNT(Dong7),"",OFFSET(TH!I$1,SMALL(Dong7,ROWS($1:19)),))</f>
        <v>50000</v>
      </c>
      <c r="G29" s="456" t="str">
        <f ca="1">IF(ROWS($1:19)&gt;COUNT(Dong7),"",OFFSET(TH!J$1,SMALL(Dong7,ROWS($1:19)),))</f>
        <v>642</v>
      </c>
      <c r="H29" s="456" t="str">
        <f ca="1">IF(ROWS($1:19)&gt;COUNT(Dong7),"",OFFSET(TH!K$1,SMALL(Dong7,ROWS($1:19)),))</f>
        <v>1121</v>
      </c>
      <c r="I29" s="63">
        <f t="shared" ca="1" si="42"/>
        <v>19</v>
      </c>
      <c r="J29" s="395">
        <f t="shared" ca="1" si="1"/>
        <v>0</v>
      </c>
      <c r="K29" s="395">
        <f t="shared" ca="1" si="2"/>
        <v>0</v>
      </c>
      <c r="L29" s="395">
        <f t="shared" ca="1" si="3"/>
        <v>0</v>
      </c>
      <c r="M29" s="395">
        <f t="shared" ca="1" si="4"/>
        <v>50000</v>
      </c>
      <c r="N29" s="395">
        <f t="shared" ca="1" si="5"/>
        <v>0</v>
      </c>
      <c r="O29" s="395">
        <f t="shared" ca="1" si="6"/>
        <v>0</v>
      </c>
      <c r="P29" s="395">
        <f t="shared" ca="1" si="7"/>
        <v>0</v>
      </c>
      <c r="Q29" s="395">
        <f t="shared" ca="1" si="8"/>
        <v>0</v>
      </c>
      <c r="R29" s="395">
        <f t="shared" ca="1" si="39"/>
        <v>0</v>
      </c>
      <c r="S29" s="395">
        <f t="shared" ca="1" si="40"/>
        <v>0</v>
      </c>
      <c r="T29" s="395">
        <f t="shared" ca="1" si="9"/>
        <v>0</v>
      </c>
      <c r="U29" s="395">
        <f t="shared" ca="1" si="10"/>
        <v>0</v>
      </c>
      <c r="V29" s="395">
        <f t="shared" ca="1" si="11"/>
        <v>0</v>
      </c>
      <c r="W29" s="395">
        <f t="shared" ca="1" si="12"/>
        <v>0</v>
      </c>
      <c r="X29" s="395">
        <f t="shared" ca="1" si="13"/>
        <v>0</v>
      </c>
      <c r="Y29" s="395">
        <f t="shared" ca="1" si="14"/>
        <v>0</v>
      </c>
      <c r="Z29" s="395">
        <f t="shared" ca="1" si="15"/>
        <v>0</v>
      </c>
      <c r="AA29" s="395">
        <f t="shared" ca="1" si="16"/>
        <v>0</v>
      </c>
      <c r="AB29" s="395">
        <f t="shared" ca="1" si="17"/>
        <v>0</v>
      </c>
      <c r="AC29" s="395">
        <f t="shared" ca="1" si="18"/>
        <v>0</v>
      </c>
      <c r="AD29" s="395">
        <f t="shared" ca="1" si="19"/>
        <v>0</v>
      </c>
      <c r="AE29" s="395">
        <f t="shared" ca="1" si="20"/>
        <v>0</v>
      </c>
      <c r="AF29" s="395">
        <f t="shared" ca="1" si="21"/>
        <v>0</v>
      </c>
      <c r="AG29" s="395">
        <f t="shared" ca="1" si="22"/>
        <v>0</v>
      </c>
      <c r="AH29" s="395">
        <f t="shared" ca="1" si="23"/>
        <v>0</v>
      </c>
      <c r="AI29" s="395">
        <f t="shared" ca="1" si="24"/>
        <v>0</v>
      </c>
      <c r="AJ29" s="395">
        <f t="shared" ca="1" si="25"/>
        <v>0</v>
      </c>
      <c r="AK29" s="395">
        <f t="shared" ca="1" si="26"/>
        <v>0</v>
      </c>
      <c r="AL29" s="395">
        <f t="shared" ca="1" si="27"/>
        <v>0</v>
      </c>
      <c r="AM29" s="395">
        <f t="shared" ca="1" si="28"/>
        <v>0</v>
      </c>
      <c r="AN29" s="395">
        <f t="shared" ca="1" si="29"/>
        <v>50000</v>
      </c>
      <c r="AO29" s="395">
        <f t="shared" ca="1" si="30"/>
        <v>0</v>
      </c>
      <c r="AP29" s="395">
        <f t="shared" ca="1" si="31"/>
        <v>0</v>
      </c>
      <c r="AQ29" s="395">
        <f t="shared" ca="1" si="32"/>
        <v>0</v>
      </c>
      <c r="AR29" s="395">
        <f t="shared" ca="1" si="33"/>
        <v>0</v>
      </c>
      <c r="AS29" s="395">
        <f t="shared" ca="1" si="34"/>
        <v>0</v>
      </c>
      <c r="AT29" s="395">
        <f t="shared" ca="1" si="35"/>
        <v>0</v>
      </c>
      <c r="AU29" s="395">
        <f t="shared" ca="1" si="36"/>
        <v>0</v>
      </c>
      <c r="AV29" s="395">
        <f t="shared" ca="1" si="37"/>
        <v>0</v>
      </c>
      <c r="AW29" s="395">
        <f t="shared" ca="1" si="38"/>
        <v>0</v>
      </c>
    </row>
    <row r="30" spans="1:49" s="392" customFormat="1" ht="12" customHeight="1">
      <c r="A30" s="63">
        <f t="array" aca="1" ref="A30" ca="1">IF(C30&lt;&gt;0,SUM(($C$11:C30&lt;&gt;0)*1),"")</f>
        <v>20</v>
      </c>
      <c r="B30" s="393">
        <f ca="1">IF(ROWS($1:20)&gt;COUNT(Dong7),"",OFFSET(TH!C$1,SMALL(Dong7,ROWS($1:20)),))</f>
        <v>41810</v>
      </c>
      <c r="C30" s="393" t="str">
        <f ca="1">IF(ROWS($1:20)&gt;COUNT(Dong7),"",OFFSET(TH!D$1,SMALL(Dong7,ROWS($1:20)),))</f>
        <v>GBN</v>
      </c>
      <c r="D30" s="393">
        <f ca="1">IF(ROWS($1:20)&gt;COUNT(Dong7),"",OFFSET(TH!E$1,SMALL(Dong7,ROWS($1:20)),))</f>
        <v>41810</v>
      </c>
      <c r="E30" s="443" t="str">
        <f ca="1">IF(ROWS($1:20)&gt;COUNT(Dong7),"",OFFSET(TH!F$1,SMALL(Dong7,ROWS($1:20)),))</f>
        <v>VAT Phí duy trì DV SMS</v>
      </c>
      <c r="F30" s="444">
        <f ca="1">IF(ROWS($1:20)&gt;COUNT(Dong7),"",OFFSET(TH!I$1,SMALL(Dong7,ROWS($1:20)),))</f>
        <v>5000</v>
      </c>
      <c r="G30" s="456" t="str">
        <f ca="1">IF(ROWS($1:20)&gt;COUNT(Dong7),"",OFFSET(TH!J$1,SMALL(Dong7,ROWS($1:20)),))</f>
        <v>1331</v>
      </c>
      <c r="H30" s="456" t="str">
        <f ca="1">IF(ROWS($1:20)&gt;COUNT(Dong7),"",OFFSET(TH!K$1,SMALL(Dong7,ROWS($1:20)),))</f>
        <v>1121</v>
      </c>
      <c r="I30" s="63">
        <f t="shared" ca="1" si="42"/>
        <v>20</v>
      </c>
      <c r="J30" s="395">
        <f t="shared" ca="1" si="1"/>
        <v>0</v>
      </c>
      <c r="K30" s="395">
        <f t="shared" ca="1" si="2"/>
        <v>0</v>
      </c>
      <c r="L30" s="395">
        <f t="shared" ca="1" si="3"/>
        <v>0</v>
      </c>
      <c r="M30" s="395">
        <f t="shared" ca="1" si="4"/>
        <v>5000</v>
      </c>
      <c r="N30" s="395">
        <f t="shared" ca="1" si="5"/>
        <v>5000</v>
      </c>
      <c r="O30" s="395">
        <f t="shared" ca="1" si="6"/>
        <v>0</v>
      </c>
      <c r="P30" s="395">
        <f t="shared" ca="1" si="7"/>
        <v>0</v>
      </c>
      <c r="Q30" s="395">
        <f t="shared" ca="1" si="8"/>
        <v>0</v>
      </c>
      <c r="R30" s="395">
        <f t="shared" ca="1" si="39"/>
        <v>0</v>
      </c>
      <c r="S30" s="395">
        <f t="shared" ca="1" si="40"/>
        <v>0</v>
      </c>
      <c r="T30" s="395">
        <f t="shared" ca="1" si="9"/>
        <v>0</v>
      </c>
      <c r="U30" s="395">
        <f t="shared" ca="1" si="10"/>
        <v>0</v>
      </c>
      <c r="V30" s="395">
        <f t="shared" ca="1" si="11"/>
        <v>0</v>
      </c>
      <c r="W30" s="395">
        <f t="shared" ca="1" si="12"/>
        <v>0</v>
      </c>
      <c r="X30" s="395">
        <f t="shared" ca="1" si="13"/>
        <v>0</v>
      </c>
      <c r="Y30" s="395">
        <f t="shared" ca="1" si="14"/>
        <v>0</v>
      </c>
      <c r="Z30" s="395">
        <f t="shared" ca="1" si="15"/>
        <v>0</v>
      </c>
      <c r="AA30" s="395">
        <f t="shared" ca="1" si="16"/>
        <v>0</v>
      </c>
      <c r="AB30" s="395">
        <f t="shared" ca="1" si="17"/>
        <v>0</v>
      </c>
      <c r="AC30" s="395">
        <f t="shared" ca="1" si="18"/>
        <v>0</v>
      </c>
      <c r="AD30" s="395">
        <f t="shared" ca="1" si="19"/>
        <v>0</v>
      </c>
      <c r="AE30" s="395">
        <f t="shared" ca="1" si="20"/>
        <v>0</v>
      </c>
      <c r="AF30" s="395">
        <f t="shared" ca="1" si="21"/>
        <v>0</v>
      </c>
      <c r="AG30" s="395">
        <f t="shared" ca="1" si="22"/>
        <v>0</v>
      </c>
      <c r="AH30" s="395">
        <f t="shared" ca="1" si="23"/>
        <v>0</v>
      </c>
      <c r="AI30" s="395">
        <f t="shared" ca="1" si="24"/>
        <v>0</v>
      </c>
      <c r="AJ30" s="395">
        <f t="shared" ca="1" si="25"/>
        <v>0</v>
      </c>
      <c r="AK30" s="395">
        <f t="shared" ca="1" si="26"/>
        <v>0</v>
      </c>
      <c r="AL30" s="395">
        <f t="shared" ca="1" si="27"/>
        <v>0</v>
      </c>
      <c r="AM30" s="395">
        <f t="shared" ca="1" si="28"/>
        <v>0</v>
      </c>
      <c r="AN30" s="395">
        <f t="shared" ca="1" si="29"/>
        <v>0</v>
      </c>
      <c r="AO30" s="395">
        <f t="shared" ca="1" si="30"/>
        <v>0</v>
      </c>
      <c r="AP30" s="395">
        <f t="shared" ca="1" si="31"/>
        <v>0</v>
      </c>
      <c r="AQ30" s="395">
        <f t="shared" ca="1" si="32"/>
        <v>0</v>
      </c>
      <c r="AR30" s="395">
        <f t="shared" ca="1" si="33"/>
        <v>0</v>
      </c>
      <c r="AS30" s="395">
        <f t="shared" ca="1" si="34"/>
        <v>0</v>
      </c>
      <c r="AT30" s="395">
        <f t="shared" ca="1" si="35"/>
        <v>0</v>
      </c>
      <c r="AU30" s="395">
        <f t="shared" ca="1" si="36"/>
        <v>0</v>
      </c>
      <c r="AV30" s="395">
        <f t="shared" ca="1" si="37"/>
        <v>0</v>
      </c>
      <c r="AW30" s="395">
        <f t="shared" ca="1" si="38"/>
        <v>0</v>
      </c>
    </row>
    <row r="31" spans="1:49" s="392" customFormat="1" ht="12" customHeight="1">
      <c r="A31" s="63">
        <f t="array" aca="1" ref="A31" ca="1">IF(C31&lt;&gt;0,SUM(($C$11:C31&lt;&gt;0)*1),"")</f>
        <v>21</v>
      </c>
      <c r="B31" s="393">
        <f ca="1">IF(ROWS($1:21)&gt;COUNT(Dong7),"",OFFSET(TH!C$1,SMALL(Dong7,ROWS($1:21)),))</f>
        <v>41810</v>
      </c>
      <c r="C31" s="393" t="str">
        <f ca="1">IF(ROWS($1:21)&gt;COUNT(Dong7),"",OFFSET(TH!D$1,SMALL(Dong7,ROWS($1:21)),))</f>
        <v>GBN</v>
      </c>
      <c r="D31" s="393">
        <f ca="1">IF(ROWS($1:21)&gt;COUNT(Dong7),"",OFFSET(TH!E$1,SMALL(Dong7,ROWS($1:21)),))</f>
        <v>41810</v>
      </c>
      <c r="E31" s="443" t="str">
        <f ca="1">IF(ROWS($1:21)&gt;COUNT(Dong7),"",OFFSET(TH!F$1,SMALL(Dong7,ROWS($1:21)),))</f>
        <v>Phí duy trì DV SMS - 0913906967</v>
      </c>
      <c r="F31" s="444">
        <f ca="1">IF(ROWS($1:21)&gt;COUNT(Dong7),"",OFFSET(TH!I$1,SMALL(Dong7,ROWS($1:21)),))</f>
        <v>50000</v>
      </c>
      <c r="G31" s="456" t="str">
        <f ca="1">IF(ROWS($1:21)&gt;COUNT(Dong7),"",OFFSET(TH!J$1,SMALL(Dong7,ROWS($1:21)),))</f>
        <v>642</v>
      </c>
      <c r="H31" s="456" t="str">
        <f ca="1">IF(ROWS($1:21)&gt;COUNT(Dong7),"",OFFSET(TH!K$1,SMALL(Dong7,ROWS($1:21)),))</f>
        <v>1121</v>
      </c>
      <c r="I31" s="63">
        <f t="shared" ca="1" si="42"/>
        <v>21</v>
      </c>
      <c r="J31" s="395">
        <f t="shared" ca="1" si="1"/>
        <v>0</v>
      </c>
      <c r="K31" s="395">
        <f t="shared" ca="1" si="2"/>
        <v>0</v>
      </c>
      <c r="L31" s="395">
        <f t="shared" ca="1" si="3"/>
        <v>0</v>
      </c>
      <c r="M31" s="395">
        <f t="shared" ca="1" si="4"/>
        <v>50000</v>
      </c>
      <c r="N31" s="395">
        <f t="shared" ca="1" si="5"/>
        <v>0</v>
      </c>
      <c r="O31" s="395">
        <f t="shared" ca="1" si="6"/>
        <v>0</v>
      </c>
      <c r="P31" s="395">
        <f t="shared" ca="1" si="7"/>
        <v>0</v>
      </c>
      <c r="Q31" s="395">
        <f t="shared" ca="1" si="8"/>
        <v>0</v>
      </c>
      <c r="R31" s="395">
        <f t="shared" ca="1" si="39"/>
        <v>0</v>
      </c>
      <c r="S31" s="395">
        <f t="shared" ca="1" si="40"/>
        <v>0</v>
      </c>
      <c r="T31" s="395">
        <f t="shared" ca="1" si="9"/>
        <v>0</v>
      </c>
      <c r="U31" s="395">
        <f t="shared" ca="1" si="10"/>
        <v>0</v>
      </c>
      <c r="V31" s="395">
        <f t="shared" ca="1" si="11"/>
        <v>0</v>
      </c>
      <c r="W31" s="395">
        <f t="shared" ca="1" si="12"/>
        <v>0</v>
      </c>
      <c r="X31" s="395">
        <f t="shared" ca="1" si="13"/>
        <v>0</v>
      </c>
      <c r="Y31" s="395">
        <f t="shared" ca="1" si="14"/>
        <v>0</v>
      </c>
      <c r="Z31" s="395">
        <f t="shared" ca="1" si="15"/>
        <v>0</v>
      </c>
      <c r="AA31" s="395">
        <f t="shared" ca="1" si="16"/>
        <v>0</v>
      </c>
      <c r="AB31" s="395">
        <f t="shared" ca="1" si="17"/>
        <v>0</v>
      </c>
      <c r="AC31" s="395">
        <f t="shared" ca="1" si="18"/>
        <v>0</v>
      </c>
      <c r="AD31" s="395">
        <f t="shared" ca="1" si="19"/>
        <v>0</v>
      </c>
      <c r="AE31" s="395">
        <f t="shared" ca="1" si="20"/>
        <v>0</v>
      </c>
      <c r="AF31" s="395">
        <f t="shared" ca="1" si="21"/>
        <v>0</v>
      </c>
      <c r="AG31" s="395">
        <f t="shared" ca="1" si="22"/>
        <v>0</v>
      </c>
      <c r="AH31" s="395">
        <f t="shared" ca="1" si="23"/>
        <v>0</v>
      </c>
      <c r="AI31" s="395">
        <f t="shared" ca="1" si="24"/>
        <v>0</v>
      </c>
      <c r="AJ31" s="395">
        <f t="shared" ca="1" si="25"/>
        <v>0</v>
      </c>
      <c r="AK31" s="395">
        <f t="shared" ca="1" si="26"/>
        <v>0</v>
      </c>
      <c r="AL31" s="395">
        <f t="shared" ca="1" si="27"/>
        <v>0</v>
      </c>
      <c r="AM31" s="395">
        <f t="shared" ca="1" si="28"/>
        <v>0</v>
      </c>
      <c r="AN31" s="395">
        <f t="shared" ca="1" si="29"/>
        <v>50000</v>
      </c>
      <c r="AO31" s="395">
        <f t="shared" ca="1" si="30"/>
        <v>0</v>
      </c>
      <c r="AP31" s="395">
        <f t="shared" ca="1" si="31"/>
        <v>0</v>
      </c>
      <c r="AQ31" s="395">
        <f t="shared" ca="1" si="32"/>
        <v>0</v>
      </c>
      <c r="AR31" s="395">
        <f t="shared" ca="1" si="33"/>
        <v>0</v>
      </c>
      <c r="AS31" s="395">
        <f t="shared" ca="1" si="34"/>
        <v>0</v>
      </c>
      <c r="AT31" s="395">
        <f t="shared" ca="1" si="35"/>
        <v>0</v>
      </c>
      <c r="AU31" s="395">
        <f t="shared" ca="1" si="36"/>
        <v>0</v>
      </c>
      <c r="AV31" s="395">
        <f t="shared" ca="1" si="37"/>
        <v>0</v>
      </c>
      <c r="AW31" s="395">
        <f t="shared" ca="1" si="38"/>
        <v>0</v>
      </c>
    </row>
    <row r="32" spans="1:49" s="392" customFormat="1" ht="12" customHeight="1">
      <c r="A32" s="63">
        <f t="array" aca="1" ref="A32" ca="1">IF(C32&lt;&gt;0,SUM(($C$11:C32&lt;&gt;0)*1),"")</f>
        <v>22</v>
      </c>
      <c r="B32" s="393">
        <f ca="1">IF(ROWS($1:22)&gt;COUNT(Dong7),"",OFFSET(TH!C$1,SMALL(Dong7,ROWS($1:22)),))</f>
        <v>41810</v>
      </c>
      <c r="C32" s="393" t="str">
        <f ca="1">IF(ROWS($1:22)&gt;COUNT(Dong7),"",OFFSET(TH!D$1,SMALL(Dong7,ROWS($1:22)),))</f>
        <v>GBN</v>
      </c>
      <c r="D32" s="393">
        <f ca="1">IF(ROWS($1:22)&gt;COUNT(Dong7),"",OFFSET(TH!E$1,SMALL(Dong7,ROWS($1:22)),))</f>
        <v>41810</v>
      </c>
      <c r="E32" s="443" t="str">
        <f ca="1">IF(ROWS($1:22)&gt;COUNT(Dong7),"",OFFSET(TH!F$1,SMALL(Dong7,ROWS($1:22)),))</f>
        <v>VAT Phí duy trì DV SMS</v>
      </c>
      <c r="F32" s="444">
        <f ca="1">IF(ROWS($1:22)&gt;COUNT(Dong7),"",OFFSET(TH!I$1,SMALL(Dong7,ROWS($1:22)),))</f>
        <v>5000</v>
      </c>
      <c r="G32" s="456" t="str">
        <f ca="1">IF(ROWS($1:22)&gt;COUNT(Dong7),"",OFFSET(TH!J$1,SMALL(Dong7,ROWS($1:22)),))</f>
        <v>1331</v>
      </c>
      <c r="H32" s="456" t="str">
        <f ca="1">IF(ROWS($1:22)&gt;COUNT(Dong7),"",OFFSET(TH!K$1,SMALL(Dong7,ROWS($1:22)),))</f>
        <v>1121</v>
      </c>
      <c r="I32" s="63">
        <f t="shared" ca="1" si="42"/>
        <v>22</v>
      </c>
      <c r="J32" s="395">
        <f t="shared" ca="1" si="1"/>
        <v>0</v>
      </c>
      <c r="K32" s="395">
        <f t="shared" ca="1" si="2"/>
        <v>0</v>
      </c>
      <c r="L32" s="395">
        <f t="shared" ca="1" si="3"/>
        <v>0</v>
      </c>
      <c r="M32" s="395">
        <f t="shared" ca="1" si="4"/>
        <v>5000</v>
      </c>
      <c r="N32" s="395">
        <f t="shared" ca="1" si="5"/>
        <v>5000</v>
      </c>
      <c r="O32" s="395">
        <f t="shared" ca="1" si="6"/>
        <v>0</v>
      </c>
      <c r="P32" s="395">
        <f t="shared" ca="1" si="7"/>
        <v>0</v>
      </c>
      <c r="Q32" s="395">
        <f t="shared" ca="1" si="8"/>
        <v>0</v>
      </c>
      <c r="R32" s="395">
        <f t="shared" ca="1" si="39"/>
        <v>0</v>
      </c>
      <c r="S32" s="395">
        <f t="shared" ca="1" si="40"/>
        <v>0</v>
      </c>
      <c r="T32" s="395">
        <f t="shared" ca="1" si="9"/>
        <v>0</v>
      </c>
      <c r="U32" s="395">
        <f t="shared" ca="1" si="10"/>
        <v>0</v>
      </c>
      <c r="V32" s="395">
        <f t="shared" ca="1" si="11"/>
        <v>0</v>
      </c>
      <c r="W32" s="395">
        <f t="shared" ca="1" si="12"/>
        <v>0</v>
      </c>
      <c r="X32" s="395">
        <f t="shared" ca="1" si="13"/>
        <v>0</v>
      </c>
      <c r="Y32" s="395">
        <f t="shared" ca="1" si="14"/>
        <v>0</v>
      </c>
      <c r="Z32" s="395">
        <f t="shared" ca="1" si="15"/>
        <v>0</v>
      </c>
      <c r="AA32" s="395">
        <f t="shared" ca="1" si="16"/>
        <v>0</v>
      </c>
      <c r="AB32" s="395">
        <f t="shared" ca="1" si="17"/>
        <v>0</v>
      </c>
      <c r="AC32" s="395">
        <f t="shared" ca="1" si="18"/>
        <v>0</v>
      </c>
      <c r="AD32" s="395">
        <f t="shared" ca="1" si="19"/>
        <v>0</v>
      </c>
      <c r="AE32" s="395">
        <f t="shared" ca="1" si="20"/>
        <v>0</v>
      </c>
      <c r="AF32" s="395">
        <f t="shared" ca="1" si="21"/>
        <v>0</v>
      </c>
      <c r="AG32" s="395">
        <f t="shared" ca="1" si="22"/>
        <v>0</v>
      </c>
      <c r="AH32" s="395">
        <f t="shared" ca="1" si="23"/>
        <v>0</v>
      </c>
      <c r="AI32" s="395">
        <f t="shared" ca="1" si="24"/>
        <v>0</v>
      </c>
      <c r="AJ32" s="395">
        <f t="shared" ca="1" si="25"/>
        <v>0</v>
      </c>
      <c r="AK32" s="395">
        <f t="shared" ca="1" si="26"/>
        <v>0</v>
      </c>
      <c r="AL32" s="395">
        <f t="shared" ca="1" si="27"/>
        <v>0</v>
      </c>
      <c r="AM32" s="395">
        <f t="shared" ca="1" si="28"/>
        <v>0</v>
      </c>
      <c r="AN32" s="395">
        <f t="shared" ca="1" si="29"/>
        <v>0</v>
      </c>
      <c r="AO32" s="395">
        <f t="shared" ca="1" si="30"/>
        <v>0</v>
      </c>
      <c r="AP32" s="395">
        <f t="shared" ca="1" si="31"/>
        <v>0</v>
      </c>
      <c r="AQ32" s="395">
        <f t="shared" ca="1" si="32"/>
        <v>0</v>
      </c>
      <c r="AR32" s="395">
        <f t="shared" ca="1" si="33"/>
        <v>0</v>
      </c>
      <c r="AS32" s="395">
        <f t="shared" ca="1" si="34"/>
        <v>0</v>
      </c>
      <c r="AT32" s="395">
        <f t="shared" ca="1" si="35"/>
        <v>0</v>
      </c>
      <c r="AU32" s="395">
        <f t="shared" ca="1" si="36"/>
        <v>0</v>
      </c>
      <c r="AV32" s="395">
        <f t="shared" ca="1" si="37"/>
        <v>0</v>
      </c>
      <c r="AW32" s="395">
        <f t="shared" ca="1" si="38"/>
        <v>0</v>
      </c>
    </row>
    <row r="33" spans="1:49" s="392" customFormat="1" ht="12" customHeight="1">
      <c r="A33" s="63">
        <f t="array" aca="1" ref="A33" ca="1">IF(C33&lt;&gt;0,SUM(($C$11:C33&lt;&gt;0)*1),"")</f>
        <v>23</v>
      </c>
      <c r="B33" s="393">
        <f ca="1">IF(ROWS($1:23)&gt;COUNT(Dong7),"",OFFSET(TH!C$1,SMALL(Dong7,ROWS($1:23)),))</f>
        <v>41810</v>
      </c>
      <c r="C33" s="393" t="str">
        <f ca="1">IF(ROWS($1:23)&gt;COUNT(Dong7),"",OFFSET(TH!D$1,SMALL(Dong7,ROWS($1:23)),))</f>
        <v>GBN</v>
      </c>
      <c r="D33" s="393">
        <f ca="1">IF(ROWS($1:23)&gt;COUNT(Dong7),"",OFFSET(TH!E$1,SMALL(Dong7,ROWS($1:23)),))</f>
        <v>41810</v>
      </c>
      <c r="E33" s="443" t="str">
        <f ca="1">IF(ROWS($1:23)&gt;COUNT(Dong7),"",OFFSET(TH!F$1,SMALL(Dong7,ROWS($1:23)),))</f>
        <v>Phí duy trì DV SMS - 0982911262</v>
      </c>
      <c r="F33" s="444">
        <f ca="1">IF(ROWS($1:23)&gt;COUNT(Dong7),"",OFFSET(TH!I$1,SMALL(Dong7,ROWS($1:23)),))</f>
        <v>50000</v>
      </c>
      <c r="G33" s="456" t="str">
        <f ca="1">IF(ROWS($1:23)&gt;COUNT(Dong7),"",OFFSET(TH!J$1,SMALL(Dong7,ROWS($1:23)),))</f>
        <v>642</v>
      </c>
      <c r="H33" s="456" t="str">
        <f ca="1">IF(ROWS($1:23)&gt;COUNT(Dong7),"",OFFSET(TH!K$1,SMALL(Dong7,ROWS($1:23)),))</f>
        <v>1121</v>
      </c>
      <c r="I33" s="63">
        <f t="shared" ca="1" si="42"/>
        <v>23</v>
      </c>
      <c r="J33" s="395">
        <f t="shared" ca="1" si="1"/>
        <v>0</v>
      </c>
      <c r="K33" s="395">
        <f t="shared" ca="1" si="2"/>
        <v>0</v>
      </c>
      <c r="L33" s="395">
        <f t="shared" ca="1" si="3"/>
        <v>0</v>
      </c>
      <c r="M33" s="395">
        <f t="shared" ca="1" si="4"/>
        <v>50000</v>
      </c>
      <c r="N33" s="395">
        <f t="shared" ca="1" si="5"/>
        <v>0</v>
      </c>
      <c r="O33" s="395">
        <f t="shared" ca="1" si="6"/>
        <v>0</v>
      </c>
      <c r="P33" s="395">
        <f t="shared" ca="1" si="7"/>
        <v>0</v>
      </c>
      <c r="Q33" s="395">
        <f t="shared" ca="1" si="8"/>
        <v>0</v>
      </c>
      <c r="R33" s="395">
        <f t="shared" ca="1" si="39"/>
        <v>0</v>
      </c>
      <c r="S33" s="395">
        <f t="shared" ca="1" si="40"/>
        <v>0</v>
      </c>
      <c r="T33" s="395">
        <f t="shared" ca="1" si="9"/>
        <v>0</v>
      </c>
      <c r="U33" s="395">
        <f t="shared" ca="1" si="10"/>
        <v>0</v>
      </c>
      <c r="V33" s="395">
        <f t="shared" ca="1" si="11"/>
        <v>0</v>
      </c>
      <c r="W33" s="395">
        <f t="shared" ca="1" si="12"/>
        <v>0</v>
      </c>
      <c r="X33" s="395">
        <f t="shared" ca="1" si="13"/>
        <v>0</v>
      </c>
      <c r="Y33" s="395">
        <f t="shared" ca="1" si="14"/>
        <v>0</v>
      </c>
      <c r="Z33" s="395">
        <f t="shared" ca="1" si="15"/>
        <v>0</v>
      </c>
      <c r="AA33" s="395">
        <f t="shared" ca="1" si="16"/>
        <v>0</v>
      </c>
      <c r="AB33" s="395">
        <f t="shared" ca="1" si="17"/>
        <v>0</v>
      </c>
      <c r="AC33" s="395">
        <f t="shared" ca="1" si="18"/>
        <v>0</v>
      </c>
      <c r="AD33" s="395">
        <f t="shared" ca="1" si="19"/>
        <v>0</v>
      </c>
      <c r="AE33" s="395">
        <f t="shared" ca="1" si="20"/>
        <v>0</v>
      </c>
      <c r="AF33" s="395">
        <f t="shared" ca="1" si="21"/>
        <v>0</v>
      </c>
      <c r="AG33" s="395">
        <f t="shared" ca="1" si="22"/>
        <v>0</v>
      </c>
      <c r="AH33" s="395">
        <f t="shared" ca="1" si="23"/>
        <v>0</v>
      </c>
      <c r="AI33" s="395">
        <f t="shared" ca="1" si="24"/>
        <v>0</v>
      </c>
      <c r="AJ33" s="395">
        <f t="shared" ca="1" si="25"/>
        <v>0</v>
      </c>
      <c r="AK33" s="395">
        <f t="shared" ca="1" si="26"/>
        <v>0</v>
      </c>
      <c r="AL33" s="395">
        <f t="shared" ca="1" si="27"/>
        <v>0</v>
      </c>
      <c r="AM33" s="395">
        <f t="shared" ca="1" si="28"/>
        <v>0</v>
      </c>
      <c r="AN33" s="395">
        <f t="shared" ca="1" si="29"/>
        <v>50000</v>
      </c>
      <c r="AO33" s="395">
        <f t="shared" ca="1" si="30"/>
        <v>0</v>
      </c>
      <c r="AP33" s="395">
        <f t="shared" ca="1" si="31"/>
        <v>0</v>
      </c>
      <c r="AQ33" s="395">
        <f t="shared" ca="1" si="32"/>
        <v>0</v>
      </c>
      <c r="AR33" s="395">
        <f t="shared" ca="1" si="33"/>
        <v>0</v>
      </c>
      <c r="AS33" s="395">
        <f t="shared" ca="1" si="34"/>
        <v>0</v>
      </c>
      <c r="AT33" s="395">
        <f t="shared" ca="1" si="35"/>
        <v>0</v>
      </c>
      <c r="AU33" s="395">
        <f t="shared" ca="1" si="36"/>
        <v>0</v>
      </c>
      <c r="AV33" s="395">
        <f t="shared" ca="1" si="37"/>
        <v>0</v>
      </c>
      <c r="AW33" s="395">
        <f t="shared" ca="1" si="38"/>
        <v>0</v>
      </c>
    </row>
    <row r="34" spans="1:49" s="392" customFormat="1" ht="12" customHeight="1">
      <c r="A34" s="63">
        <f t="array" aca="1" ref="A34" ca="1">IF(C34&lt;&gt;0,SUM(($C$11:C34&lt;&gt;0)*1),"")</f>
        <v>24</v>
      </c>
      <c r="B34" s="393">
        <f ca="1">IF(ROWS($1:24)&gt;COUNT(Dong7),"",OFFSET(TH!C$1,SMALL(Dong7,ROWS($1:24)),))</f>
        <v>41810</v>
      </c>
      <c r="C34" s="393" t="str">
        <f ca="1">IF(ROWS($1:24)&gt;COUNT(Dong7),"",OFFSET(TH!D$1,SMALL(Dong7,ROWS($1:24)),))</f>
        <v>GBN</v>
      </c>
      <c r="D34" s="393">
        <f ca="1">IF(ROWS($1:24)&gt;COUNT(Dong7),"",OFFSET(TH!E$1,SMALL(Dong7,ROWS($1:24)),))</f>
        <v>41810</v>
      </c>
      <c r="E34" s="443" t="str">
        <f ca="1">IF(ROWS($1:24)&gt;COUNT(Dong7),"",OFFSET(TH!F$1,SMALL(Dong7,ROWS($1:24)),))</f>
        <v>VAT Phí duy trì DV SMS</v>
      </c>
      <c r="F34" s="444">
        <f ca="1">IF(ROWS($1:24)&gt;COUNT(Dong7),"",OFFSET(TH!I$1,SMALL(Dong7,ROWS($1:24)),))</f>
        <v>5000</v>
      </c>
      <c r="G34" s="456" t="str">
        <f ca="1">IF(ROWS($1:24)&gt;COUNT(Dong7),"",OFFSET(TH!J$1,SMALL(Dong7,ROWS($1:24)),))</f>
        <v>1331</v>
      </c>
      <c r="H34" s="456" t="str">
        <f ca="1">IF(ROWS($1:24)&gt;COUNT(Dong7),"",OFFSET(TH!K$1,SMALL(Dong7,ROWS($1:24)),))</f>
        <v>1121</v>
      </c>
      <c r="I34" s="63">
        <f t="shared" ca="1" si="42"/>
        <v>24</v>
      </c>
      <c r="J34" s="395">
        <f t="shared" ca="1" si="1"/>
        <v>0</v>
      </c>
      <c r="K34" s="395">
        <f t="shared" ca="1" si="2"/>
        <v>0</v>
      </c>
      <c r="L34" s="395">
        <f t="shared" ca="1" si="3"/>
        <v>0</v>
      </c>
      <c r="M34" s="395">
        <f t="shared" ca="1" si="4"/>
        <v>5000</v>
      </c>
      <c r="N34" s="395">
        <f t="shared" ca="1" si="5"/>
        <v>5000</v>
      </c>
      <c r="O34" s="395">
        <f t="shared" ca="1" si="6"/>
        <v>0</v>
      </c>
      <c r="P34" s="395">
        <f t="shared" ca="1" si="7"/>
        <v>0</v>
      </c>
      <c r="Q34" s="395">
        <f t="shared" ca="1" si="8"/>
        <v>0</v>
      </c>
      <c r="R34" s="395">
        <f t="shared" ca="1" si="39"/>
        <v>0</v>
      </c>
      <c r="S34" s="395">
        <f t="shared" ca="1" si="40"/>
        <v>0</v>
      </c>
      <c r="T34" s="395">
        <f t="shared" ca="1" si="9"/>
        <v>0</v>
      </c>
      <c r="U34" s="395">
        <f t="shared" ca="1" si="10"/>
        <v>0</v>
      </c>
      <c r="V34" s="395">
        <f t="shared" ca="1" si="11"/>
        <v>0</v>
      </c>
      <c r="W34" s="395">
        <f t="shared" ca="1" si="12"/>
        <v>0</v>
      </c>
      <c r="X34" s="395">
        <f t="shared" ca="1" si="13"/>
        <v>0</v>
      </c>
      <c r="Y34" s="395">
        <f t="shared" ca="1" si="14"/>
        <v>0</v>
      </c>
      <c r="Z34" s="395">
        <f t="shared" ca="1" si="15"/>
        <v>0</v>
      </c>
      <c r="AA34" s="395">
        <f t="shared" ca="1" si="16"/>
        <v>0</v>
      </c>
      <c r="AB34" s="395">
        <f t="shared" ca="1" si="17"/>
        <v>0</v>
      </c>
      <c r="AC34" s="395">
        <f t="shared" ca="1" si="18"/>
        <v>0</v>
      </c>
      <c r="AD34" s="395">
        <f t="shared" ca="1" si="19"/>
        <v>0</v>
      </c>
      <c r="AE34" s="395">
        <f t="shared" ca="1" si="20"/>
        <v>0</v>
      </c>
      <c r="AF34" s="395">
        <f t="shared" ca="1" si="21"/>
        <v>0</v>
      </c>
      <c r="AG34" s="395">
        <f t="shared" ca="1" si="22"/>
        <v>0</v>
      </c>
      <c r="AH34" s="395">
        <f t="shared" ca="1" si="23"/>
        <v>0</v>
      </c>
      <c r="AI34" s="395">
        <f t="shared" ca="1" si="24"/>
        <v>0</v>
      </c>
      <c r="AJ34" s="395">
        <f t="shared" ca="1" si="25"/>
        <v>0</v>
      </c>
      <c r="AK34" s="395">
        <f t="shared" ca="1" si="26"/>
        <v>0</v>
      </c>
      <c r="AL34" s="395">
        <f t="shared" ca="1" si="27"/>
        <v>0</v>
      </c>
      <c r="AM34" s="395">
        <f t="shared" ca="1" si="28"/>
        <v>0</v>
      </c>
      <c r="AN34" s="395">
        <f t="shared" ca="1" si="29"/>
        <v>0</v>
      </c>
      <c r="AO34" s="395">
        <f t="shared" ca="1" si="30"/>
        <v>0</v>
      </c>
      <c r="AP34" s="395">
        <f t="shared" ca="1" si="31"/>
        <v>0</v>
      </c>
      <c r="AQ34" s="395">
        <f t="shared" ca="1" si="32"/>
        <v>0</v>
      </c>
      <c r="AR34" s="395">
        <f t="shared" ca="1" si="33"/>
        <v>0</v>
      </c>
      <c r="AS34" s="395">
        <f t="shared" ca="1" si="34"/>
        <v>0</v>
      </c>
      <c r="AT34" s="395">
        <f t="shared" ca="1" si="35"/>
        <v>0</v>
      </c>
      <c r="AU34" s="395">
        <f t="shared" ca="1" si="36"/>
        <v>0</v>
      </c>
      <c r="AV34" s="395">
        <f t="shared" ca="1" si="37"/>
        <v>0</v>
      </c>
      <c r="AW34" s="395">
        <f t="shared" ca="1" si="38"/>
        <v>0</v>
      </c>
    </row>
    <row r="35" spans="1:49" s="392" customFormat="1" ht="12" customHeight="1">
      <c r="A35" s="63">
        <f t="array" aca="1" ref="A35" ca="1">IF(C35&lt;&gt;0,SUM(($C$11:C35&lt;&gt;0)*1),"")</f>
        <v>25</v>
      </c>
      <c r="B35" s="393">
        <f ca="1">IF(ROWS($1:25)&gt;COUNT(Dong7),"",OFFSET(TH!C$1,SMALL(Dong7,ROWS($1:25)),))</f>
        <v>41813</v>
      </c>
      <c r="C35" s="393" t="str">
        <f ca="1">IF(ROWS($1:25)&gt;COUNT(Dong7),"",OFFSET(TH!D$1,SMALL(Dong7,ROWS($1:25)),))</f>
        <v>GBN</v>
      </c>
      <c r="D35" s="393">
        <f ca="1">IF(ROWS($1:25)&gt;COUNT(Dong7),"",OFFSET(TH!E$1,SMALL(Dong7,ROWS($1:25)),))</f>
        <v>41813</v>
      </c>
      <c r="E35" s="443" t="str">
        <f ca="1">IF(ROWS($1:25)&gt;COUNT(Dong7),"",OFFSET(TH!F$1,SMALL(Dong7,ROWS($1:25)),))</f>
        <v>Ứng tiển thiết kế - Kiến Trúc XD Bách Việt</v>
      </c>
      <c r="F35" s="444">
        <f ca="1">IF(ROWS($1:25)&gt;COUNT(Dong7),"",OFFSET(TH!I$1,SMALL(Dong7,ROWS($1:25)),))</f>
        <v>30000000</v>
      </c>
      <c r="G35" s="456" t="str">
        <f ca="1">IF(ROWS($1:25)&gt;COUNT(Dong7),"",OFFSET(TH!J$1,SMALL(Dong7,ROWS($1:25)),))</f>
        <v>331</v>
      </c>
      <c r="H35" s="456" t="str">
        <f ca="1">IF(ROWS($1:25)&gt;COUNT(Dong7),"",OFFSET(TH!K$1,SMALL(Dong7,ROWS($1:25)),))</f>
        <v>1121</v>
      </c>
      <c r="I35" s="63">
        <f t="shared" ca="1" si="42"/>
        <v>25</v>
      </c>
      <c r="J35" s="395">
        <f t="shared" ca="1" si="1"/>
        <v>0</v>
      </c>
      <c r="K35" s="395">
        <f t="shared" ca="1" si="2"/>
        <v>0</v>
      </c>
      <c r="L35" s="395">
        <f t="shared" ca="1" si="3"/>
        <v>0</v>
      </c>
      <c r="M35" s="395">
        <f t="shared" ca="1" si="4"/>
        <v>30000000</v>
      </c>
      <c r="N35" s="395">
        <f t="shared" ca="1" si="5"/>
        <v>0</v>
      </c>
      <c r="O35" s="395">
        <f t="shared" ca="1" si="6"/>
        <v>0</v>
      </c>
      <c r="P35" s="395">
        <f t="shared" ca="1" si="7"/>
        <v>0</v>
      </c>
      <c r="Q35" s="395">
        <f t="shared" ca="1" si="8"/>
        <v>0</v>
      </c>
      <c r="R35" s="395">
        <f t="shared" ca="1" si="39"/>
        <v>0</v>
      </c>
      <c r="S35" s="395">
        <f t="shared" ca="1" si="40"/>
        <v>0</v>
      </c>
      <c r="T35" s="395">
        <f t="shared" ca="1" si="9"/>
        <v>30000000</v>
      </c>
      <c r="U35" s="395">
        <f t="shared" ca="1" si="10"/>
        <v>0</v>
      </c>
      <c r="V35" s="395">
        <f t="shared" ca="1" si="11"/>
        <v>0</v>
      </c>
      <c r="W35" s="395">
        <f t="shared" ca="1" si="12"/>
        <v>0</v>
      </c>
      <c r="X35" s="395">
        <f t="shared" ca="1" si="13"/>
        <v>0</v>
      </c>
      <c r="Y35" s="395">
        <f t="shared" ca="1" si="14"/>
        <v>0</v>
      </c>
      <c r="Z35" s="395">
        <f t="shared" ca="1" si="15"/>
        <v>0</v>
      </c>
      <c r="AA35" s="395">
        <f t="shared" ca="1" si="16"/>
        <v>0</v>
      </c>
      <c r="AB35" s="395">
        <f t="shared" ca="1" si="17"/>
        <v>0</v>
      </c>
      <c r="AC35" s="395">
        <f t="shared" ca="1" si="18"/>
        <v>0</v>
      </c>
      <c r="AD35" s="395">
        <f t="shared" ca="1" si="19"/>
        <v>0</v>
      </c>
      <c r="AE35" s="395">
        <f t="shared" ca="1" si="20"/>
        <v>0</v>
      </c>
      <c r="AF35" s="395">
        <f t="shared" ca="1" si="21"/>
        <v>0</v>
      </c>
      <c r="AG35" s="395">
        <f t="shared" ca="1" si="22"/>
        <v>0</v>
      </c>
      <c r="AH35" s="395">
        <f t="shared" ca="1" si="23"/>
        <v>0</v>
      </c>
      <c r="AI35" s="395">
        <f t="shared" ca="1" si="24"/>
        <v>0</v>
      </c>
      <c r="AJ35" s="395">
        <f t="shared" ca="1" si="25"/>
        <v>0</v>
      </c>
      <c r="AK35" s="395">
        <f t="shared" ca="1" si="26"/>
        <v>0</v>
      </c>
      <c r="AL35" s="395">
        <f t="shared" ca="1" si="27"/>
        <v>0</v>
      </c>
      <c r="AM35" s="395">
        <f t="shared" ca="1" si="28"/>
        <v>0</v>
      </c>
      <c r="AN35" s="395">
        <f t="shared" ca="1" si="29"/>
        <v>0</v>
      </c>
      <c r="AO35" s="395">
        <f t="shared" ca="1" si="30"/>
        <v>0</v>
      </c>
      <c r="AP35" s="395">
        <f t="shared" ca="1" si="31"/>
        <v>0</v>
      </c>
      <c r="AQ35" s="395">
        <f t="shared" ca="1" si="32"/>
        <v>0</v>
      </c>
      <c r="AR35" s="395">
        <f t="shared" ca="1" si="33"/>
        <v>0</v>
      </c>
      <c r="AS35" s="395">
        <f t="shared" ca="1" si="34"/>
        <v>0</v>
      </c>
      <c r="AT35" s="395">
        <f t="shared" ca="1" si="35"/>
        <v>0</v>
      </c>
      <c r="AU35" s="395">
        <f t="shared" ca="1" si="36"/>
        <v>0</v>
      </c>
      <c r="AV35" s="395">
        <f t="shared" ca="1" si="37"/>
        <v>0</v>
      </c>
      <c r="AW35" s="395">
        <f t="shared" ca="1" si="38"/>
        <v>0</v>
      </c>
    </row>
    <row r="36" spans="1:49" s="392" customFormat="1" ht="12" customHeight="1">
      <c r="A36" s="63">
        <f t="array" aca="1" ref="A36" ca="1">IF(C36&lt;&gt;0,SUM(($C$11:C36&lt;&gt;0)*1),"")</f>
        <v>26</v>
      </c>
      <c r="B36" s="393">
        <f ca="1">IF(ROWS($1:26)&gt;COUNT(Dong7),"",OFFSET(TH!C$1,SMALL(Dong7,ROWS($1:26)),))</f>
        <v>41813</v>
      </c>
      <c r="C36" s="393" t="str">
        <f ca="1">IF(ROWS($1:26)&gt;COUNT(Dong7),"",OFFSET(TH!D$1,SMALL(Dong7,ROWS($1:26)),))</f>
        <v>GBN</v>
      </c>
      <c r="D36" s="393">
        <f ca="1">IF(ROWS($1:26)&gt;COUNT(Dong7),"",OFFSET(TH!E$1,SMALL(Dong7,ROWS($1:26)),))</f>
        <v>41813</v>
      </c>
      <c r="E36" s="443" t="str">
        <f ca="1">IF(ROWS($1:26)&gt;COUNT(Dong7),"",OFFSET(TH!F$1,SMALL(Dong7,ROWS($1:26)),))</f>
        <v xml:space="preserve">Phí chuyển tiền </v>
      </c>
      <c r="F36" s="444">
        <f ca="1">IF(ROWS($1:26)&gt;COUNT(Dong7),"",OFFSET(TH!I$1,SMALL(Dong7,ROWS($1:26)),))</f>
        <v>20000</v>
      </c>
      <c r="G36" s="456" t="str">
        <f ca="1">IF(ROWS($1:26)&gt;COUNT(Dong7),"",OFFSET(TH!J$1,SMALL(Dong7,ROWS($1:26)),))</f>
        <v>642</v>
      </c>
      <c r="H36" s="456" t="str">
        <f ca="1">IF(ROWS($1:26)&gt;COUNT(Dong7),"",OFFSET(TH!K$1,SMALL(Dong7,ROWS($1:26)),))</f>
        <v>1121</v>
      </c>
      <c r="I36" s="63">
        <f t="shared" ca="1" si="42"/>
        <v>26</v>
      </c>
      <c r="J36" s="395">
        <f t="shared" ca="1" si="1"/>
        <v>0</v>
      </c>
      <c r="K36" s="395">
        <f t="shared" ca="1" si="2"/>
        <v>0</v>
      </c>
      <c r="L36" s="395">
        <f t="shared" ca="1" si="3"/>
        <v>0</v>
      </c>
      <c r="M36" s="395">
        <f t="shared" ca="1" si="4"/>
        <v>20000</v>
      </c>
      <c r="N36" s="395">
        <f t="shared" ca="1" si="5"/>
        <v>0</v>
      </c>
      <c r="O36" s="395">
        <f t="shared" ca="1" si="6"/>
        <v>0</v>
      </c>
      <c r="P36" s="395">
        <f t="shared" ca="1" si="7"/>
        <v>0</v>
      </c>
      <c r="Q36" s="395">
        <f t="shared" ca="1" si="8"/>
        <v>0</v>
      </c>
      <c r="R36" s="395">
        <f t="shared" ca="1" si="39"/>
        <v>0</v>
      </c>
      <c r="S36" s="395">
        <f t="shared" ca="1" si="40"/>
        <v>0</v>
      </c>
      <c r="T36" s="395">
        <f t="shared" ca="1" si="9"/>
        <v>0</v>
      </c>
      <c r="U36" s="395">
        <f t="shared" ca="1" si="10"/>
        <v>0</v>
      </c>
      <c r="V36" s="395">
        <f t="shared" ca="1" si="11"/>
        <v>0</v>
      </c>
      <c r="W36" s="395">
        <f t="shared" ca="1" si="12"/>
        <v>0</v>
      </c>
      <c r="X36" s="395">
        <f t="shared" ca="1" si="13"/>
        <v>0</v>
      </c>
      <c r="Y36" s="395">
        <f t="shared" ca="1" si="14"/>
        <v>0</v>
      </c>
      <c r="Z36" s="395">
        <f t="shared" ca="1" si="15"/>
        <v>0</v>
      </c>
      <c r="AA36" s="395">
        <f t="shared" ca="1" si="16"/>
        <v>0</v>
      </c>
      <c r="AB36" s="395">
        <f t="shared" ca="1" si="17"/>
        <v>0</v>
      </c>
      <c r="AC36" s="395">
        <f t="shared" ca="1" si="18"/>
        <v>0</v>
      </c>
      <c r="AD36" s="395">
        <f t="shared" ca="1" si="19"/>
        <v>0</v>
      </c>
      <c r="AE36" s="395">
        <f t="shared" ca="1" si="20"/>
        <v>0</v>
      </c>
      <c r="AF36" s="395">
        <f t="shared" ca="1" si="21"/>
        <v>0</v>
      </c>
      <c r="AG36" s="395">
        <f t="shared" ca="1" si="22"/>
        <v>0</v>
      </c>
      <c r="AH36" s="395">
        <f t="shared" ca="1" si="23"/>
        <v>0</v>
      </c>
      <c r="AI36" s="395">
        <f t="shared" ca="1" si="24"/>
        <v>0</v>
      </c>
      <c r="AJ36" s="395">
        <f t="shared" ca="1" si="25"/>
        <v>0</v>
      </c>
      <c r="AK36" s="395">
        <f t="shared" ca="1" si="26"/>
        <v>0</v>
      </c>
      <c r="AL36" s="395">
        <f t="shared" ca="1" si="27"/>
        <v>0</v>
      </c>
      <c r="AM36" s="395">
        <f t="shared" ca="1" si="28"/>
        <v>0</v>
      </c>
      <c r="AN36" s="395">
        <f t="shared" ca="1" si="29"/>
        <v>20000</v>
      </c>
      <c r="AO36" s="395">
        <f t="shared" ca="1" si="30"/>
        <v>0</v>
      </c>
      <c r="AP36" s="395">
        <f t="shared" ca="1" si="31"/>
        <v>0</v>
      </c>
      <c r="AQ36" s="395">
        <f t="shared" ca="1" si="32"/>
        <v>0</v>
      </c>
      <c r="AR36" s="395">
        <f t="shared" ca="1" si="33"/>
        <v>0</v>
      </c>
      <c r="AS36" s="395">
        <f t="shared" ca="1" si="34"/>
        <v>0</v>
      </c>
      <c r="AT36" s="395">
        <f t="shared" ca="1" si="35"/>
        <v>0</v>
      </c>
      <c r="AU36" s="395">
        <f t="shared" ca="1" si="36"/>
        <v>0</v>
      </c>
      <c r="AV36" s="395">
        <f t="shared" ca="1" si="37"/>
        <v>0</v>
      </c>
      <c r="AW36" s="395">
        <f t="shared" ca="1" si="38"/>
        <v>0</v>
      </c>
    </row>
    <row r="37" spans="1:49" s="392" customFormat="1" ht="12" customHeight="1">
      <c r="A37" s="63">
        <f t="array" aca="1" ref="A37" ca="1">IF(C37&lt;&gt;0,SUM(($C$11:C37&lt;&gt;0)*1),"")</f>
        <v>27</v>
      </c>
      <c r="B37" s="393">
        <f ca="1">IF(ROWS($1:27)&gt;COUNT(Dong7),"",OFFSET(TH!C$1,SMALL(Dong7,ROWS($1:27)),))</f>
        <v>41813</v>
      </c>
      <c r="C37" s="393" t="str">
        <f ca="1">IF(ROWS($1:27)&gt;COUNT(Dong7),"",OFFSET(TH!D$1,SMALL(Dong7,ROWS($1:27)),))</f>
        <v>GBN</v>
      </c>
      <c r="D37" s="393">
        <f ca="1">IF(ROWS($1:27)&gt;COUNT(Dong7),"",OFFSET(TH!E$1,SMALL(Dong7,ROWS($1:27)),))</f>
        <v>41813</v>
      </c>
      <c r="E37" s="443" t="str">
        <f ca="1">IF(ROWS($1:27)&gt;COUNT(Dong7),"",OFFSET(TH!F$1,SMALL(Dong7,ROWS($1:27)),))</f>
        <v xml:space="preserve">VAT Phí chuyển tiền </v>
      </c>
      <c r="F37" s="444">
        <f ca="1">IF(ROWS($1:27)&gt;COUNT(Dong7),"",OFFSET(TH!I$1,SMALL(Dong7,ROWS($1:27)),))</f>
        <v>2000</v>
      </c>
      <c r="G37" s="456" t="str">
        <f ca="1">IF(ROWS($1:27)&gt;COUNT(Dong7),"",OFFSET(TH!J$1,SMALL(Dong7,ROWS($1:27)),))</f>
        <v>1331</v>
      </c>
      <c r="H37" s="456" t="str">
        <f ca="1">IF(ROWS($1:27)&gt;COUNT(Dong7),"",OFFSET(TH!K$1,SMALL(Dong7,ROWS($1:27)),))</f>
        <v>1121</v>
      </c>
      <c r="I37" s="63">
        <f t="shared" ca="1" si="42"/>
        <v>27</v>
      </c>
      <c r="J37" s="395">
        <f t="shared" ca="1" si="1"/>
        <v>0</v>
      </c>
      <c r="K37" s="395">
        <f t="shared" ca="1" si="2"/>
        <v>0</v>
      </c>
      <c r="L37" s="395">
        <f t="shared" ca="1" si="3"/>
        <v>0</v>
      </c>
      <c r="M37" s="395">
        <f t="shared" ca="1" si="4"/>
        <v>2000</v>
      </c>
      <c r="N37" s="395">
        <f t="shared" ca="1" si="5"/>
        <v>2000</v>
      </c>
      <c r="O37" s="395">
        <f t="shared" ca="1" si="6"/>
        <v>0</v>
      </c>
      <c r="P37" s="395">
        <f t="shared" ca="1" si="7"/>
        <v>0</v>
      </c>
      <c r="Q37" s="395">
        <f t="shared" ca="1" si="8"/>
        <v>0</v>
      </c>
      <c r="R37" s="395">
        <f t="shared" ca="1" si="39"/>
        <v>0</v>
      </c>
      <c r="S37" s="395">
        <f t="shared" ca="1" si="40"/>
        <v>0</v>
      </c>
      <c r="T37" s="395">
        <f t="shared" ca="1" si="9"/>
        <v>0</v>
      </c>
      <c r="U37" s="395">
        <f t="shared" ca="1" si="10"/>
        <v>0</v>
      </c>
      <c r="V37" s="395">
        <f t="shared" ca="1" si="11"/>
        <v>0</v>
      </c>
      <c r="W37" s="395">
        <f t="shared" ca="1" si="12"/>
        <v>0</v>
      </c>
      <c r="X37" s="395">
        <f t="shared" ca="1" si="13"/>
        <v>0</v>
      </c>
      <c r="Y37" s="395">
        <f t="shared" ca="1" si="14"/>
        <v>0</v>
      </c>
      <c r="Z37" s="395">
        <f t="shared" ca="1" si="15"/>
        <v>0</v>
      </c>
      <c r="AA37" s="395">
        <f t="shared" ca="1" si="16"/>
        <v>0</v>
      </c>
      <c r="AB37" s="395">
        <f t="shared" ca="1" si="17"/>
        <v>0</v>
      </c>
      <c r="AC37" s="395">
        <f t="shared" ca="1" si="18"/>
        <v>0</v>
      </c>
      <c r="AD37" s="395">
        <f t="shared" ca="1" si="19"/>
        <v>0</v>
      </c>
      <c r="AE37" s="395">
        <f t="shared" ca="1" si="20"/>
        <v>0</v>
      </c>
      <c r="AF37" s="395">
        <f t="shared" ca="1" si="21"/>
        <v>0</v>
      </c>
      <c r="AG37" s="395">
        <f t="shared" ca="1" si="22"/>
        <v>0</v>
      </c>
      <c r="AH37" s="395">
        <f t="shared" ca="1" si="23"/>
        <v>0</v>
      </c>
      <c r="AI37" s="395">
        <f t="shared" ca="1" si="24"/>
        <v>0</v>
      </c>
      <c r="AJ37" s="395">
        <f t="shared" ca="1" si="25"/>
        <v>0</v>
      </c>
      <c r="AK37" s="395">
        <f t="shared" ca="1" si="26"/>
        <v>0</v>
      </c>
      <c r="AL37" s="395">
        <f t="shared" ca="1" si="27"/>
        <v>0</v>
      </c>
      <c r="AM37" s="395">
        <f t="shared" ca="1" si="28"/>
        <v>0</v>
      </c>
      <c r="AN37" s="395">
        <f t="shared" ca="1" si="29"/>
        <v>0</v>
      </c>
      <c r="AO37" s="395">
        <f t="shared" ca="1" si="30"/>
        <v>0</v>
      </c>
      <c r="AP37" s="395">
        <f t="shared" ca="1" si="31"/>
        <v>0</v>
      </c>
      <c r="AQ37" s="395">
        <f t="shared" ca="1" si="32"/>
        <v>0</v>
      </c>
      <c r="AR37" s="395">
        <f t="shared" ca="1" si="33"/>
        <v>0</v>
      </c>
      <c r="AS37" s="395">
        <f t="shared" ca="1" si="34"/>
        <v>0</v>
      </c>
      <c r="AT37" s="395">
        <f t="shared" ca="1" si="35"/>
        <v>0</v>
      </c>
      <c r="AU37" s="395">
        <f t="shared" ca="1" si="36"/>
        <v>0</v>
      </c>
      <c r="AV37" s="395">
        <f t="shared" ca="1" si="37"/>
        <v>0</v>
      </c>
      <c r="AW37" s="395">
        <f t="shared" ca="1" si="38"/>
        <v>0</v>
      </c>
    </row>
    <row r="38" spans="1:49" s="392" customFormat="1" ht="12" customHeight="1">
      <c r="A38" s="63">
        <f t="array" aca="1" ref="A38" ca="1">IF(C38&lt;&gt;0,SUM(($C$11:C38&lt;&gt;0)*1),"")</f>
        <v>28</v>
      </c>
      <c r="B38" s="291">
        <v>41820</v>
      </c>
      <c r="C38" s="396" t="s">
        <v>154</v>
      </c>
      <c r="D38" s="396">
        <f t="shared" ref="D38:D43" si="43">B38</f>
        <v>41820</v>
      </c>
      <c r="E38" s="397" t="s">
        <v>155</v>
      </c>
      <c r="F38" s="89">
        <f ca="1">AL45</f>
        <v>0</v>
      </c>
      <c r="G38" s="398" t="s">
        <v>214</v>
      </c>
      <c r="H38" s="398" t="s">
        <v>138</v>
      </c>
      <c r="I38" s="63">
        <f t="shared" ref="I38:I43" ca="1" si="44">A38</f>
        <v>28</v>
      </c>
      <c r="J38" s="395">
        <f t="shared" ref="J38:J44" si="45">IF($G38="1111",$F38,0)</f>
        <v>0</v>
      </c>
      <c r="K38" s="395">
        <f t="shared" ref="K38:K44" si="46">IF($H38="1111",$F38,0)</f>
        <v>0</v>
      </c>
      <c r="L38" s="395">
        <f t="shared" ref="L38:L44" si="47">IF($G38="1121",$F38,0)</f>
        <v>0</v>
      </c>
      <c r="M38" s="395">
        <f t="shared" ref="M38:M44" si="48">IF($H38="1121",$F38,0)</f>
        <v>0</v>
      </c>
      <c r="N38" s="395">
        <f t="shared" ref="N38:N44" si="49">IF($G38="1331",$F38,0)</f>
        <v>0</v>
      </c>
      <c r="O38" s="395">
        <f t="shared" ref="O38:O44" si="50">IF($H38="1331",$F38,0)</f>
        <v>0</v>
      </c>
      <c r="P38" s="395">
        <f t="shared" ref="P38:P44" si="51">IF($G38="1388",$F38,0)</f>
        <v>0</v>
      </c>
      <c r="Q38" s="395">
        <f t="shared" ref="Q38:Q44" si="52">IF($H38="1388",$F38,0)</f>
        <v>0</v>
      </c>
      <c r="R38" s="395">
        <f t="shared" ref="R38:R44" ca="1" si="53">IF($G38="2412",$F38,0)</f>
        <v>0</v>
      </c>
      <c r="S38" s="395">
        <f t="shared" ref="S38:S44" si="54">IF($H38="2412",$F38,0)</f>
        <v>0</v>
      </c>
      <c r="T38" s="395">
        <f t="shared" ref="T38:T44" si="55">IF($G38="331",$F38,0)</f>
        <v>0</v>
      </c>
      <c r="U38" s="395">
        <f t="shared" ref="U38:U44" si="56">IF($H38="331",$F38,0)</f>
        <v>0</v>
      </c>
      <c r="V38" s="395">
        <f t="shared" ref="V38:V44" si="57">IF($G38="3334",$F38,0)</f>
        <v>0</v>
      </c>
      <c r="W38" s="395">
        <f t="shared" ref="W38:W44" si="58">IF($H38="3334",$F38,0)</f>
        <v>0</v>
      </c>
      <c r="X38" s="395">
        <f t="shared" ref="X38:X44" si="59">IF($G38="33382",$F38,0)</f>
        <v>0</v>
      </c>
      <c r="Y38" s="395">
        <f t="shared" ref="Y38:Y44" si="60">IF($H38="33382",$F38,0)</f>
        <v>0</v>
      </c>
      <c r="Z38" s="395">
        <f t="shared" ref="Z38:Z44" si="61">IF($G38="3388",$F38,0)</f>
        <v>0</v>
      </c>
      <c r="AA38" s="395">
        <f t="shared" ref="AA38:AA44" si="62">IF($H38="3388",$F38,0)</f>
        <v>0</v>
      </c>
      <c r="AB38" s="395">
        <f t="shared" ref="AB38:AB44" si="63">IF($G38="3411",$F38,0)</f>
        <v>0</v>
      </c>
      <c r="AC38" s="395">
        <f t="shared" ref="AC38:AC44" si="64">IF($H38="3411",$F38,0)</f>
        <v>0</v>
      </c>
      <c r="AD38" s="395">
        <f t="shared" ref="AD38:AD44" si="65">IF($G38="4111",$F38,0)</f>
        <v>0</v>
      </c>
      <c r="AE38" s="395">
        <f t="shared" ref="AE38:AE44" si="66">IF($H38="4111",$F38,0)</f>
        <v>0</v>
      </c>
      <c r="AF38" s="395">
        <f t="shared" ref="AF38:AF44" si="67">IF($G38="4211",$F38,0)</f>
        <v>0</v>
      </c>
      <c r="AG38" s="395">
        <f t="shared" ref="AG38:AG44" si="68">IF($H38="4211",$F38,0)</f>
        <v>0</v>
      </c>
      <c r="AH38" s="395">
        <f t="shared" ref="AH38:AH44" si="69">IF($G38="4212",$F38,0)</f>
        <v>0</v>
      </c>
      <c r="AI38" s="395">
        <f t="shared" ref="AI38:AI44" si="70">IF($H38="4212",$F38,0)</f>
        <v>0</v>
      </c>
      <c r="AJ38" s="395">
        <f t="shared" ref="AJ38:AJ44" si="71">IF($G38="515",$F38,0)</f>
        <v>0</v>
      </c>
      <c r="AK38" s="395">
        <f t="shared" ref="AK38:AK44" si="72">IF($H38="515",$F38,0)</f>
        <v>0</v>
      </c>
      <c r="AL38" s="395">
        <f t="shared" ref="AL38:AL44" si="73">IF($G38="635",$F38,0)</f>
        <v>0</v>
      </c>
      <c r="AM38" s="395">
        <f t="shared" ref="AM38:AM44" ca="1" si="74">IF($H38="635",$F38,0)</f>
        <v>0</v>
      </c>
      <c r="AN38" s="395">
        <f t="shared" ref="AN38:AN44" si="75">IF($G38="642",$F38,0)</f>
        <v>0</v>
      </c>
      <c r="AO38" s="395">
        <f t="shared" ref="AO38:AO44" si="76">IF($H38="642",$F38,0)</f>
        <v>0</v>
      </c>
      <c r="AP38" s="395">
        <f t="shared" ref="AP38:AP44" si="77">IF($G38="711",$F38,0)</f>
        <v>0</v>
      </c>
      <c r="AQ38" s="395">
        <f t="shared" ref="AQ38:AQ44" si="78">IF($H38="711",$F38,0)</f>
        <v>0</v>
      </c>
      <c r="AR38" s="395">
        <f t="shared" ref="AR38:AR44" si="79">IF($G38="811",$F38,0)</f>
        <v>0</v>
      </c>
      <c r="AS38" s="395">
        <f t="shared" ref="AS38:AS44" si="80">IF($H38="811",$F38,0)</f>
        <v>0</v>
      </c>
      <c r="AT38" s="395">
        <f t="shared" ref="AT38:AT44" si="81">IF($G38="821",$F38,0)</f>
        <v>0</v>
      </c>
      <c r="AU38" s="395">
        <f t="shared" ref="AU38:AU44" si="82">IF($H38="821",$F38,0)</f>
        <v>0</v>
      </c>
      <c r="AV38" s="395">
        <f t="shared" ref="AV38:AV44" si="83">IF($G38="911",$F38,0)</f>
        <v>0</v>
      </c>
      <c r="AW38" s="395">
        <f t="shared" ref="AW38:AW44" si="84">IF($H38="911",$F38,0)</f>
        <v>0</v>
      </c>
    </row>
    <row r="39" spans="1:49" s="392" customFormat="1" ht="12" customHeight="1">
      <c r="A39" s="63">
        <f t="array" aca="1" ref="A39" ca="1">IF(C39&lt;&gt;0,SUM(($C$11:C39&lt;&gt;0)*1),"")</f>
        <v>29</v>
      </c>
      <c r="B39" s="291">
        <v>41820</v>
      </c>
      <c r="C39" s="396" t="s">
        <v>154</v>
      </c>
      <c r="D39" s="396">
        <f t="shared" si="43"/>
        <v>41820</v>
      </c>
      <c r="E39" s="397" t="s">
        <v>156</v>
      </c>
      <c r="F39" s="89">
        <f ca="1">AN45</f>
        <v>33385000</v>
      </c>
      <c r="G39" s="398" t="s">
        <v>148</v>
      </c>
      <c r="H39" s="398" t="s">
        <v>140</v>
      </c>
      <c r="I39" s="63">
        <f t="shared" ca="1" si="44"/>
        <v>29</v>
      </c>
      <c r="J39" s="395">
        <f t="shared" si="45"/>
        <v>0</v>
      </c>
      <c r="K39" s="395">
        <f t="shared" si="46"/>
        <v>0</v>
      </c>
      <c r="L39" s="395">
        <f t="shared" si="47"/>
        <v>0</v>
      </c>
      <c r="M39" s="395">
        <f t="shared" si="48"/>
        <v>0</v>
      </c>
      <c r="N39" s="395">
        <f t="shared" si="49"/>
        <v>0</v>
      </c>
      <c r="O39" s="395">
        <f t="shared" si="50"/>
        <v>0</v>
      </c>
      <c r="P39" s="395">
        <f t="shared" si="51"/>
        <v>0</v>
      </c>
      <c r="Q39" s="395">
        <f t="shared" si="52"/>
        <v>0</v>
      </c>
      <c r="R39" s="395">
        <f t="shared" si="53"/>
        <v>0</v>
      </c>
      <c r="S39" s="395">
        <f t="shared" si="54"/>
        <v>0</v>
      </c>
      <c r="T39" s="395">
        <f t="shared" si="55"/>
        <v>0</v>
      </c>
      <c r="U39" s="395">
        <f t="shared" si="56"/>
        <v>0</v>
      </c>
      <c r="V39" s="395">
        <f t="shared" si="57"/>
        <v>0</v>
      </c>
      <c r="W39" s="395">
        <f t="shared" si="58"/>
        <v>0</v>
      </c>
      <c r="X39" s="395">
        <f t="shared" si="59"/>
        <v>0</v>
      </c>
      <c r="Y39" s="395">
        <f t="shared" si="60"/>
        <v>0</v>
      </c>
      <c r="Z39" s="395">
        <f t="shared" si="61"/>
        <v>0</v>
      </c>
      <c r="AA39" s="395">
        <f t="shared" si="62"/>
        <v>0</v>
      </c>
      <c r="AB39" s="395">
        <f t="shared" si="63"/>
        <v>0</v>
      </c>
      <c r="AC39" s="395">
        <f t="shared" si="64"/>
        <v>0</v>
      </c>
      <c r="AD39" s="395">
        <f t="shared" si="65"/>
        <v>0</v>
      </c>
      <c r="AE39" s="395">
        <f t="shared" si="66"/>
        <v>0</v>
      </c>
      <c r="AF39" s="395">
        <f t="shared" si="67"/>
        <v>0</v>
      </c>
      <c r="AG39" s="395">
        <f t="shared" si="68"/>
        <v>0</v>
      </c>
      <c r="AH39" s="395">
        <f t="shared" si="69"/>
        <v>0</v>
      </c>
      <c r="AI39" s="395">
        <f t="shared" si="70"/>
        <v>0</v>
      </c>
      <c r="AJ39" s="395">
        <f t="shared" si="71"/>
        <v>0</v>
      </c>
      <c r="AK39" s="395">
        <f t="shared" si="72"/>
        <v>0</v>
      </c>
      <c r="AL39" s="395">
        <f t="shared" si="73"/>
        <v>0</v>
      </c>
      <c r="AM39" s="395">
        <f t="shared" si="74"/>
        <v>0</v>
      </c>
      <c r="AN39" s="395">
        <f t="shared" si="75"/>
        <v>0</v>
      </c>
      <c r="AO39" s="395">
        <f t="shared" ca="1" si="76"/>
        <v>33385000</v>
      </c>
      <c r="AP39" s="395">
        <f t="shared" si="77"/>
        <v>0</v>
      </c>
      <c r="AQ39" s="395">
        <f t="shared" si="78"/>
        <v>0</v>
      </c>
      <c r="AR39" s="395">
        <f t="shared" si="79"/>
        <v>0</v>
      </c>
      <c r="AS39" s="395">
        <f t="shared" si="80"/>
        <v>0</v>
      </c>
      <c r="AT39" s="395">
        <f t="shared" si="81"/>
        <v>0</v>
      </c>
      <c r="AU39" s="395">
        <f t="shared" si="82"/>
        <v>0</v>
      </c>
      <c r="AV39" s="395">
        <f t="shared" ca="1" si="83"/>
        <v>33385000</v>
      </c>
      <c r="AW39" s="395">
        <f t="shared" si="84"/>
        <v>0</v>
      </c>
    </row>
    <row r="40" spans="1:49" s="392" customFormat="1" ht="12" customHeight="1">
      <c r="A40" s="63">
        <f t="array" aca="1" ref="A40" ca="1">IF(C40&lt;&gt;0,SUM(($C$11:C40&lt;&gt;0)*1),"")</f>
        <v>30</v>
      </c>
      <c r="B40" s="291">
        <v>41820</v>
      </c>
      <c r="C40" s="396" t="s">
        <v>154</v>
      </c>
      <c r="D40" s="396">
        <f t="shared" si="43"/>
        <v>41820</v>
      </c>
      <c r="E40" s="397" t="s">
        <v>291</v>
      </c>
      <c r="F40" s="89">
        <f ca="1">AV45</f>
        <v>33385000</v>
      </c>
      <c r="G40" s="398" t="s">
        <v>133</v>
      </c>
      <c r="H40" s="398" t="s">
        <v>148</v>
      </c>
      <c r="I40" s="63">
        <f t="shared" ca="1" si="44"/>
        <v>30</v>
      </c>
      <c r="J40" s="395">
        <f t="shared" si="45"/>
        <v>0</v>
      </c>
      <c r="K40" s="395">
        <f t="shared" si="46"/>
        <v>0</v>
      </c>
      <c r="L40" s="395">
        <f t="shared" si="47"/>
        <v>0</v>
      </c>
      <c r="M40" s="395">
        <f t="shared" si="48"/>
        <v>0</v>
      </c>
      <c r="N40" s="395">
        <f t="shared" si="49"/>
        <v>0</v>
      </c>
      <c r="O40" s="395">
        <f t="shared" si="50"/>
        <v>0</v>
      </c>
      <c r="P40" s="395">
        <f t="shared" si="51"/>
        <v>0</v>
      </c>
      <c r="Q40" s="395">
        <f t="shared" si="52"/>
        <v>0</v>
      </c>
      <c r="R40" s="395">
        <f t="shared" si="53"/>
        <v>0</v>
      </c>
      <c r="S40" s="395">
        <f t="shared" si="54"/>
        <v>0</v>
      </c>
      <c r="T40" s="395">
        <f t="shared" si="55"/>
        <v>0</v>
      </c>
      <c r="U40" s="395">
        <f t="shared" si="56"/>
        <v>0</v>
      </c>
      <c r="V40" s="395">
        <f t="shared" si="57"/>
        <v>0</v>
      </c>
      <c r="W40" s="395">
        <f t="shared" si="58"/>
        <v>0</v>
      </c>
      <c r="X40" s="395">
        <f t="shared" si="59"/>
        <v>0</v>
      </c>
      <c r="Y40" s="395">
        <f t="shared" si="60"/>
        <v>0</v>
      </c>
      <c r="Z40" s="395">
        <f t="shared" si="61"/>
        <v>0</v>
      </c>
      <c r="AA40" s="395">
        <f t="shared" si="62"/>
        <v>0</v>
      </c>
      <c r="AB40" s="395">
        <f t="shared" si="63"/>
        <v>0</v>
      </c>
      <c r="AC40" s="395">
        <f t="shared" si="64"/>
        <v>0</v>
      </c>
      <c r="AD40" s="395">
        <f t="shared" si="65"/>
        <v>0</v>
      </c>
      <c r="AE40" s="395">
        <f t="shared" si="66"/>
        <v>0</v>
      </c>
      <c r="AF40" s="395">
        <f t="shared" si="67"/>
        <v>0</v>
      </c>
      <c r="AG40" s="395">
        <f t="shared" si="68"/>
        <v>0</v>
      </c>
      <c r="AH40" s="395">
        <f t="shared" ca="1" si="69"/>
        <v>33385000</v>
      </c>
      <c r="AI40" s="395">
        <f t="shared" si="70"/>
        <v>0</v>
      </c>
      <c r="AJ40" s="395">
        <f t="shared" si="71"/>
        <v>0</v>
      </c>
      <c r="AK40" s="395">
        <f t="shared" si="72"/>
        <v>0</v>
      </c>
      <c r="AL40" s="395">
        <f t="shared" si="73"/>
        <v>0</v>
      </c>
      <c r="AM40" s="395">
        <f t="shared" si="74"/>
        <v>0</v>
      </c>
      <c r="AN40" s="395">
        <f t="shared" si="75"/>
        <v>0</v>
      </c>
      <c r="AO40" s="395">
        <f t="shared" si="76"/>
        <v>0</v>
      </c>
      <c r="AP40" s="395">
        <f t="shared" si="77"/>
        <v>0</v>
      </c>
      <c r="AQ40" s="395">
        <f t="shared" si="78"/>
        <v>0</v>
      </c>
      <c r="AR40" s="395">
        <f t="shared" si="79"/>
        <v>0</v>
      </c>
      <c r="AS40" s="395">
        <f t="shared" si="80"/>
        <v>0</v>
      </c>
      <c r="AT40" s="395">
        <f t="shared" si="81"/>
        <v>0</v>
      </c>
      <c r="AU40" s="395">
        <f t="shared" si="82"/>
        <v>0</v>
      </c>
      <c r="AV40" s="395">
        <f t="shared" si="83"/>
        <v>0</v>
      </c>
      <c r="AW40" s="395">
        <f t="shared" ca="1" si="84"/>
        <v>33385000</v>
      </c>
    </row>
    <row r="41" spans="1:49" s="392" customFormat="1" ht="12" customHeight="1">
      <c r="A41" s="63">
        <f t="array" aca="1" ref="A41" ca="1">IF(C41&lt;&gt;0,SUM(($C$11:C41&lt;&gt;0)*1),"")</f>
        <v>31</v>
      </c>
      <c r="B41" s="291">
        <v>41820</v>
      </c>
      <c r="C41" s="396" t="s">
        <v>154</v>
      </c>
      <c r="D41" s="396">
        <f t="shared" si="43"/>
        <v>41820</v>
      </c>
      <c r="E41" s="397" t="s">
        <v>158</v>
      </c>
      <c r="F41" s="89">
        <f ca="1">AK45</f>
        <v>0</v>
      </c>
      <c r="G41" s="398" t="s">
        <v>67</v>
      </c>
      <c r="H41" s="398" t="s">
        <v>148</v>
      </c>
      <c r="I41" s="63">
        <f t="shared" ca="1" si="44"/>
        <v>31</v>
      </c>
      <c r="J41" s="395">
        <f t="shared" si="45"/>
        <v>0</v>
      </c>
      <c r="K41" s="395">
        <f t="shared" si="46"/>
        <v>0</v>
      </c>
      <c r="L41" s="395">
        <f t="shared" si="47"/>
        <v>0</v>
      </c>
      <c r="M41" s="395">
        <f t="shared" si="48"/>
        <v>0</v>
      </c>
      <c r="N41" s="395">
        <f t="shared" si="49"/>
        <v>0</v>
      </c>
      <c r="O41" s="395">
        <f t="shared" si="50"/>
        <v>0</v>
      </c>
      <c r="P41" s="395">
        <f t="shared" si="51"/>
        <v>0</v>
      </c>
      <c r="Q41" s="395">
        <f t="shared" si="52"/>
        <v>0</v>
      </c>
      <c r="R41" s="395">
        <f t="shared" si="53"/>
        <v>0</v>
      </c>
      <c r="S41" s="395">
        <f t="shared" si="54"/>
        <v>0</v>
      </c>
      <c r="T41" s="395">
        <f t="shared" si="55"/>
        <v>0</v>
      </c>
      <c r="U41" s="395">
        <f t="shared" si="56"/>
        <v>0</v>
      </c>
      <c r="V41" s="395">
        <f t="shared" si="57"/>
        <v>0</v>
      </c>
      <c r="W41" s="395">
        <f t="shared" si="58"/>
        <v>0</v>
      </c>
      <c r="X41" s="395">
        <f t="shared" si="59"/>
        <v>0</v>
      </c>
      <c r="Y41" s="395">
        <f t="shared" si="60"/>
        <v>0</v>
      </c>
      <c r="Z41" s="395">
        <f t="shared" si="61"/>
        <v>0</v>
      </c>
      <c r="AA41" s="395">
        <f t="shared" si="62"/>
        <v>0</v>
      </c>
      <c r="AB41" s="395">
        <f t="shared" si="63"/>
        <v>0</v>
      </c>
      <c r="AC41" s="395">
        <f t="shared" si="64"/>
        <v>0</v>
      </c>
      <c r="AD41" s="395">
        <f t="shared" si="65"/>
        <v>0</v>
      </c>
      <c r="AE41" s="395">
        <f t="shared" si="66"/>
        <v>0</v>
      </c>
      <c r="AF41" s="395">
        <f t="shared" si="67"/>
        <v>0</v>
      </c>
      <c r="AG41" s="395">
        <f t="shared" si="68"/>
        <v>0</v>
      </c>
      <c r="AH41" s="395">
        <f t="shared" si="69"/>
        <v>0</v>
      </c>
      <c r="AI41" s="395">
        <f t="shared" si="70"/>
        <v>0</v>
      </c>
      <c r="AJ41" s="395">
        <f t="shared" ca="1" si="71"/>
        <v>0</v>
      </c>
      <c r="AK41" s="395">
        <f t="shared" si="72"/>
        <v>0</v>
      </c>
      <c r="AL41" s="395">
        <f t="shared" si="73"/>
        <v>0</v>
      </c>
      <c r="AM41" s="395">
        <f t="shared" si="74"/>
        <v>0</v>
      </c>
      <c r="AN41" s="395">
        <f t="shared" si="75"/>
        <v>0</v>
      </c>
      <c r="AO41" s="395">
        <f t="shared" si="76"/>
        <v>0</v>
      </c>
      <c r="AP41" s="395">
        <f t="shared" si="77"/>
        <v>0</v>
      </c>
      <c r="AQ41" s="395">
        <f t="shared" si="78"/>
        <v>0</v>
      </c>
      <c r="AR41" s="395">
        <f t="shared" si="79"/>
        <v>0</v>
      </c>
      <c r="AS41" s="395">
        <f t="shared" si="80"/>
        <v>0</v>
      </c>
      <c r="AT41" s="395">
        <f t="shared" si="81"/>
        <v>0</v>
      </c>
      <c r="AU41" s="395">
        <f t="shared" si="82"/>
        <v>0</v>
      </c>
      <c r="AV41" s="395">
        <f t="shared" si="83"/>
        <v>0</v>
      </c>
      <c r="AW41" s="395">
        <f t="shared" ca="1" si="84"/>
        <v>0</v>
      </c>
    </row>
    <row r="42" spans="1:49" s="392" customFormat="1" ht="12" customHeight="1">
      <c r="A42" s="63">
        <f t="array" aca="1" ref="A42" ca="1">IF(C42&lt;&gt;0,SUM(($C$11:C42&lt;&gt;0)*1),"")</f>
        <v>32</v>
      </c>
      <c r="B42" s="291">
        <v>41820</v>
      </c>
      <c r="C42" s="396" t="s">
        <v>154</v>
      </c>
      <c r="D42" s="396">
        <f t="shared" si="43"/>
        <v>41820</v>
      </c>
      <c r="E42" s="397" t="s">
        <v>159</v>
      </c>
      <c r="F42" s="89">
        <f ca="1">AQ45</f>
        <v>0</v>
      </c>
      <c r="G42" s="398" t="s">
        <v>142</v>
      </c>
      <c r="H42" s="398" t="s">
        <v>148</v>
      </c>
      <c r="I42" s="63">
        <f t="shared" ca="1" si="44"/>
        <v>32</v>
      </c>
      <c r="J42" s="395">
        <f t="shared" si="45"/>
        <v>0</v>
      </c>
      <c r="K42" s="395">
        <f t="shared" si="46"/>
        <v>0</v>
      </c>
      <c r="L42" s="395">
        <f t="shared" si="47"/>
        <v>0</v>
      </c>
      <c r="M42" s="395">
        <f t="shared" si="48"/>
        <v>0</v>
      </c>
      <c r="N42" s="395">
        <f t="shared" si="49"/>
        <v>0</v>
      </c>
      <c r="O42" s="395">
        <f t="shared" si="50"/>
        <v>0</v>
      </c>
      <c r="P42" s="395">
        <f t="shared" si="51"/>
        <v>0</v>
      </c>
      <c r="Q42" s="395">
        <f t="shared" si="52"/>
        <v>0</v>
      </c>
      <c r="R42" s="395">
        <f t="shared" si="53"/>
        <v>0</v>
      </c>
      <c r="S42" s="395">
        <f t="shared" si="54"/>
        <v>0</v>
      </c>
      <c r="T42" s="395">
        <f t="shared" si="55"/>
        <v>0</v>
      </c>
      <c r="U42" s="395">
        <f t="shared" si="56"/>
        <v>0</v>
      </c>
      <c r="V42" s="395">
        <f t="shared" si="57"/>
        <v>0</v>
      </c>
      <c r="W42" s="395">
        <f t="shared" si="58"/>
        <v>0</v>
      </c>
      <c r="X42" s="395">
        <f t="shared" si="59"/>
        <v>0</v>
      </c>
      <c r="Y42" s="395">
        <f t="shared" si="60"/>
        <v>0</v>
      </c>
      <c r="Z42" s="395">
        <f t="shared" si="61"/>
        <v>0</v>
      </c>
      <c r="AA42" s="395">
        <f t="shared" si="62"/>
        <v>0</v>
      </c>
      <c r="AB42" s="395">
        <f t="shared" si="63"/>
        <v>0</v>
      </c>
      <c r="AC42" s="395">
        <f t="shared" si="64"/>
        <v>0</v>
      </c>
      <c r="AD42" s="395">
        <f t="shared" si="65"/>
        <v>0</v>
      </c>
      <c r="AE42" s="395">
        <f t="shared" si="66"/>
        <v>0</v>
      </c>
      <c r="AF42" s="395">
        <f t="shared" si="67"/>
        <v>0</v>
      </c>
      <c r="AG42" s="395">
        <f t="shared" si="68"/>
        <v>0</v>
      </c>
      <c r="AH42" s="395">
        <f t="shared" si="69"/>
        <v>0</v>
      </c>
      <c r="AI42" s="395">
        <f t="shared" si="70"/>
        <v>0</v>
      </c>
      <c r="AJ42" s="395">
        <f t="shared" si="71"/>
        <v>0</v>
      </c>
      <c r="AK42" s="395">
        <f t="shared" si="72"/>
        <v>0</v>
      </c>
      <c r="AL42" s="395">
        <f t="shared" si="73"/>
        <v>0</v>
      </c>
      <c r="AM42" s="395">
        <f t="shared" si="74"/>
        <v>0</v>
      </c>
      <c r="AN42" s="395">
        <f t="shared" si="75"/>
        <v>0</v>
      </c>
      <c r="AO42" s="395">
        <f t="shared" si="76"/>
        <v>0</v>
      </c>
      <c r="AP42" s="395">
        <f t="shared" ca="1" si="77"/>
        <v>0</v>
      </c>
      <c r="AQ42" s="395">
        <f t="shared" si="78"/>
        <v>0</v>
      </c>
      <c r="AR42" s="395">
        <f t="shared" si="79"/>
        <v>0</v>
      </c>
      <c r="AS42" s="395">
        <f t="shared" si="80"/>
        <v>0</v>
      </c>
      <c r="AT42" s="395">
        <f t="shared" si="81"/>
        <v>0</v>
      </c>
      <c r="AU42" s="395">
        <f t="shared" si="82"/>
        <v>0</v>
      </c>
      <c r="AV42" s="395">
        <f t="shared" si="83"/>
        <v>0</v>
      </c>
      <c r="AW42" s="395">
        <f t="shared" ca="1" si="84"/>
        <v>0</v>
      </c>
    </row>
    <row r="43" spans="1:49" s="392" customFormat="1" ht="12" customHeight="1">
      <c r="A43" s="63">
        <f t="array" aca="1" ref="A43" ca="1">IF(C43&lt;&gt;0,SUM(($C$11:C43&lt;&gt;0)*1),"")</f>
        <v>33</v>
      </c>
      <c r="B43" s="291">
        <v>41820</v>
      </c>
      <c r="C43" s="396" t="s">
        <v>154</v>
      </c>
      <c r="D43" s="396">
        <f t="shared" si="43"/>
        <v>41820</v>
      </c>
      <c r="E43" s="397" t="s">
        <v>160</v>
      </c>
      <c r="F43" s="89">
        <f ca="1">AR45</f>
        <v>0</v>
      </c>
      <c r="G43" s="398" t="s">
        <v>148</v>
      </c>
      <c r="H43" s="398" t="s">
        <v>144</v>
      </c>
      <c r="I43" s="63">
        <f t="shared" ca="1" si="44"/>
        <v>33</v>
      </c>
      <c r="J43" s="395">
        <f t="shared" si="45"/>
        <v>0</v>
      </c>
      <c r="K43" s="395">
        <f t="shared" si="46"/>
        <v>0</v>
      </c>
      <c r="L43" s="395">
        <f t="shared" si="47"/>
        <v>0</v>
      </c>
      <c r="M43" s="395">
        <f t="shared" si="48"/>
        <v>0</v>
      </c>
      <c r="N43" s="395">
        <f t="shared" si="49"/>
        <v>0</v>
      </c>
      <c r="O43" s="395">
        <f t="shared" si="50"/>
        <v>0</v>
      </c>
      <c r="P43" s="395">
        <f t="shared" si="51"/>
        <v>0</v>
      </c>
      <c r="Q43" s="395">
        <f t="shared" si="52"/>
        <v>0</v>
      </c>
      <c r="R43" s="395">
        <f t="shared" si="53"/>
        <v>0</v>
      </c>
      <c r="S43" s="395">
        <f t="shared" si="54"/>
        <v>0</v>
      </c>
      <c r="T43" s="395">
        <f t="shared" si="55"/>
        <v>0</v>
      </c>
      <c r="U43" s="395">
        <f t="shared" si="56"/>
        <v>0</v>
      </c>
      <c r="V43" s="395">
        <f t="shared" si="57"/>
        <v>0</v>
      </c>
      <c r="W43" s="395">
        <f t="shared" si="58"/>
        <v>0</v>
      </c>
      <c r="X43" s="395">
        <f t="shared" si="59"/>
        <v>0</v>
      </c>
      <c r="Y43" s="395">
        <f t="shared" si="60"/>
        <v>0</v>
      </c>
      <c r="Z43" s="395">
        <f t="shared" si="61"/>
        <v>0</v>
      </c>
      <c r="AA43" s="395">
        <f t="shared" si="62"/>
        <v>0</v>
      </c>
      <c r="AB43" s="395">
        <f t="shared" si="63"/>
        <v>0</v>
      </c>
      <c r="AC43" s="395">
        <f t="shared" si="64"/>
        <v>0</v>
      </c>
      <c r="AD43" s="395">
        <f t="shared" si="65"/>
        <v>0</v>
      </c>
      <c r="AE43" s="395">
        <f t="shared" si="66"/>
        <v>0</v>
      </c>
      <c r="AF43" s="395">
        <f t="shared" si="67"/>
        <v>0</v>
      </c>
      <c r="AG43" s="395">
        <f t="shared" si="68"/>
        <v>0</v>
      </c>
      <c r="AH43" s="395">
        <f t="shared" si="69"/>
        <v>0</v>
      </c>
      <c r="AI43" s="395">
        <f t="shared" si="70"/>
        <v>0</v>
      </c>
      <c r="AJ43" s="395">
        <f t="shared" si="71"/>
        <v>0</v>
      </c>
      <c r="AK43" s="395">
        <f t="shared" si="72"/>
        <v>0</v>
      </c>
      <c r="AL43" s="395">
        <f t="shared" si="73"/>
        <v>0</v>
      </c>
      <c r="AM43" s="395">
        <f t="shared" si="74"/>
        <v>0</v>
      </c>
      <c r="AN43" s="395">
        <f t="shared" si="75"/>
        <v>0</v>
      </c>
      <c r="AO43" s="395">
        <f t="shared" si="76"/>
        <v>0</v>
      </c>
      <c r="AP43" s="395">
        <f t="shared" si="77"/>
        <v>0</v>
      </c>
      <c r="AQ43" s="395">
        <f t="shared" si="78"/>
        <v>0</v>
      </c>
      <c r="AR43" s="395">
        <f t="shared" si="79"/>
        <v>0</v>
      </c>
      <c r="AS43" s="395">
        <f t="shared" ca="1" si="80"/>
        <v>0</v>
      </c>
      <c r="AT43" s="395">
        <f t="shared" si="81"/>
        <v>0</v>
      </c>
      <c r="AU43" s="395">
        <f t="shared" si="82"/>
        <v>0</v>
      </c>
      <c r="AV43" s="395">
        <f t="shared" ca="1" si="83"/>
        <v>0</v>
      </c>
      <c r="AW43" s="395">
        <f t="shared" si="84"/>
        <v>0</v>
      </c>
    </row>
    <row r="44" spans="1:49" s="392" customFormat="1" ht="12" customHeight="1">
      <c r="A44" s="63" t="str">
        <f t="array" ref="A44">IF(C44&lt;&gt;0,SUM(($C$11:C44&lt;&gt;0)*1),"")</f>
        <v/>
      </c>
      <c r="B44" s="291"/>
      <c r="C44" s="399"/>
      <c r="D44" s="291"/>
      <c r="E44" s="394"/>
      <c r="F44" s="65"/>
      <c r="G44" s="400"/>
      <c r="H44" s="400"/>
      <c r="I44" s="63" t="str">
        <f>A44</f>
        <v/>
      </c>
      <c r="J44" s="395">
        <f t="shared" si="45"/>
        <v>0</v>
      </c>
      <c r="K44" s="395">
        <f t="shared" si="46"/>
        <v>0</v>
      </c>
      <c r="L44" s="395">
        <f t="shared" si="47"/>
        <v>0</v>
      </c>
      <c r="M44" s="395">
        <f t="shared" si="48"/>
        <v>0</v>
      </c>
      <c r="N44" s="395">
        <f t="shared" si="49"/>
        <v>0</v>
      </c>
      <c r="O44" s="395">
        <f t="shared" si="50"/>
        <v>0</v>
      </c>
      <c r="P44" s="395">
        <f t="shared" si="51"/>
        <v>0</v>
      </c>
      <c r="Q44" s="395">
        <f t="shared" si="52"/>
        <v>0</v>
      </c>
      <c r="R44" s="395">
        <f t="shared" si="53"/>
        <v>0</v>
      </c>
      <c r="S44" s="395">
        <f t="shared" si="54"/>
        <v>0</v>
      </c>
      <c r="T44" s="395">
        <f t="shared" si="55"/>
        <v>0</v>
      </c>
      <c r="U44" s="395">
        <f t="shared" si="56"/>
        <v>0</v>
      </c>
      <c r="V44" s="395">
        <f t="shared" si="57"/>
        <v>0</v>
      </c>
      <c r="W44" s="395">
        <f t="shared" si="58"/>
        <v>0</v>
      </c>
      <c r="X44" s="395">
        <f t="shared" si="59"/>
        <v>0</v>
      </c>
      <c r="Y44" s="395">
        <f t="shared" si="60"/>
        <v>0</v>
      </c>
      <c r="Z44" s="395">
        <f t="shared" si="61"/>
        <v>0</v>
      </c>
      <c r="AA44" s="395">
        <f t="shared" si="62"/>
        <v>0</v>
      </c>
      <c r="AB44" s="395">
        <f t="shared" si="63"/>
        <v>0</v>
      </c>
      <c r="AC44" s="395">
        <f t="shared" si="64"/>
        <v>0</v>
      </c>
      <c r="AD44" s="395">
        <f t="shared" si="65"/>
        <v>0</v>
      </c>
      <c r="AE44" s="395">
        <f t="shared" si="66"/>
        <v>0</v>
      </c>
      <c r="AF44" s="395">
        <f t="shared" si="67"/>
        <v>0</v>
      </c>
      <c r="AG44" s="395">
        <f t="shared" si="68"/>
        <v>0</v>
      </c>
      <c r="AH44" s="395">
        <f t="shared" si="69"/>
        <v>0</v>
      </c>
      <c r="AI44" s="395">
        <f t="shared" si="70"/>
        <v>0</v>
      </c>
      <c r="AJ44" s="395">
        <f t="shared" si="71"/>
        <v>0</v>
      </c>
      <c r="AK44" s="395">
        <f t="shared" si="72"/>
        <v>0</v>
      </c>
      <c r="AL44" s="395">
        <f t="shared" si="73"/>
        <v>0</v>
      </c>
      <c r="AM44" s="395">
        <f t="shared" si="74"/>
        <v>0</v>
      </c>
      <c r="AN44" s="395">
        <f t="shared" si="75"/>
        <v>0</v>
      </c>
      <c r="AO44" s="395">
        <f t="shared" si="76"/>
        <v>0</v>
      </c>
      <c r="AP44" s="395">
        <f t="shared" si="77"/>
        <v>0</v>
      </c>
      <c r="AQ44" s="395">
        <f t="shared" si="78"/>
        <v>0</v>
      </c>
      <c r="AR44" s="395">
        <f t="shared" si="79"/>
        <v>0</v>
      </c>
      <c r="AS44" s="395">
        <f t="shared" si="80"/>
        <v>0</v>
      </c>
      <c r="AT44" s="395">
        <f t="shared" si="81"/>
        <v>0</v>
      </c>
      <c r="AU44" s="395">
        <f t="shared" si="82"/>
        <v>0</v>
      </c>
      <c r="AV44" s="395">
        <f t="shared" si="83"/>
        <v>0</v>
      </c>
      <c r="AW44" s="395">
        <f t="shared" si="84"/>
        <v>0</v>
      </c>
    </row>
    <row r="45" spans="1:49" s="392" customFormat="1" ht="12" customHeight="1">
      <c r="A45" s="401"/>
      <c r="B45" s="401"/>
      <c r="C45" s="401"/>
      <c r="D45" s="401"/>
      <c r="E45" s="394" t="s">
        <v>241</v>
      </c>
      <c r="F45" s="401"/>
      <c r="G45" s="400"/>
      <c r="H45" s="400"/>
      <c r="I45" s="401"/>
      <c r="J45" s="401">
        <f t="shared" ref="J45:AW45" ca="1" si="85">SUM(J11:J44)</f>
        <v>0</v>
      </c>
      <c r="K45" s="401">
        <f t="shared" ca="1" si="85"/>
        <v>99500000</v>
      </c>
      <c r="L45" s="401">
        <f t="shared" ca="1" si="85"/>
        <v>132500000</v>
      </c>
      <c r="M45" s="401">
        <f t="shared" ca="1" si="85"/>
        <v>132723500</v>
      </c>
      <c r="N45" s="401">
        <f t="shared" ca="1" si="85"/>
        <v>8838500</v>
      </c>
      <c r="O45" s="401">
        <f t="shared" ca="1" si="85"/>
        <v>0</v>
      </c>
      <c r="P45" s="401">
        <f t="shared" ca="1" si="85"/>
        <v>33000000</v>
      </c>
      <c r="Q45" s="401">
        <f t="shared" ca="1" si="85"/>
        <v>33000000</v>
      </c>
      <c r="R45" s="401">
        <f t="shared" ca="1" si="85"/>
        <v>55000000</v>
      </c>
      <c r="S45" s="401">
        <f t="shared" ca="1" si="85"/>
        <v>0</v>
      </c>
      <c r="T45" s="401">
        <f t="shared" ca="1" si="85"/>
        <v>99432000</v>
      </c>
      <c r="U45" s="401">
        <f t="shared" ca="1" si="85"/>
        <v>96932000</v>
      </c>
      <c r="V45" s="401">
        <f t="shared" ca="1" si="85"/>
        <v>0</v>
      </c>
      <c r="W45" s="401">
        <f t="shared" ca="1" si="85"/>
        <v>0</v>
      </c>
      <c r="X45" s="401">
        <f t="shared" ca="1" si="85"/>
        <v>0</v>
      </c>
      <c r="Y45" s="401">
        <f t="shared" ca="1" si="85"/>
        <v>0</v>
      </c>
      <c r="Z45" s="401">
        <f t="shared" ca="1" si="85"/>
        <v>33000000</v>
      </c>
      <c r="AA45" s="401">
        <f t="shared" ca="1" si="85"/>
        <v>33000000</v>
      </c>
      <c r="AB45" s="401">
        <f t="shared" ca="1" si="85"/>
        <v>0</v>
      </c>
      <c r="AC45" s="401">
        <f t="shared" ca="1" si="85"/>
        <v>0</v>
      </c>
      <c r="AD45" s="401">
        <f t="shared" ca="1" si="85"/>
        <v>0</v>
      </c>
      <c r="AE45" s="401">
        <f t="shared" ca="1" si="85"/>
        <v>0</v>
      </c>
      <c r="AF45" s="401">
        <f t="shared" ca="1" si="85"/>
        <v>0</v>
      </c>
      <c r="AG45" s="401">
        <f t="shared" ca="1" si="85"/>
        <v>0</v>
      </c>
      <c r="AH45" s="401">
        <f t="shared" ca="1" si="85"/>
        <v>33385000</v>
      </c>
      <c r="AI45" s="401">
        <f t="shared" ca="1" si="85"/>
        <v>0</v>
      </c>
      <c r="AJ45" s="401">
        <f t="shared" ca="1" si="85"/>
        <v>0</v>
      </c>
      <c r="AK45" s="401">
        <f t="shared" ca="1" si="85"/>
        <v>0</v>
      </c>
      <c r="AL45" s="401">
        <f t="shared" ca="1" si="85"/>
        <v>0</v>
      </c>
      <c r="AM45" s="401">
        <f t="shared" ca="1" si="85"/>
        <v>0</v>
      </c>
      <c r="AN45" s="401">
        <f t="shared" ca="1" si="85"/>
        <v>33385000</v>
      </c>
      <c r="AO45" s="401">
        <f t="shared" ca="1" si="85"/>
        <v>33385000</v>
      </c>
      <c r="AP45" s="401">
        <f t="shared" ca="1" si="85"/>
        <v>0</v>
      </c>
      <c r="AQ45" s="401">
        <f t="shared" ca="1" si="85"/>
        <v>0</v>
      </c>
      <c r="AR45" s="401">
        <f t="shared" ca="1" si="85"/>
        <v>0</v>
      </c>
      <c r="AS45" s="401">
        <f t="shared" ca="1" si="85"/>
        <v>0</v>
      </c>
      <c r="AT45" s="401">
        <f t="shared" ca="1" si="85"/>
        <v>0</v>
      </c>
      <c r="AU45" s="401">
        <f t="shared" ca="1" si="85"/>
        <v>0</v>
      </c>
      <c r="AV45" s="401">
        <f t="shared" ca="1" si="85"/>
        <v>33385000</v>
      </c>
      <c r="AW45" s="401">
        <f t="shared" ca="1" si="85"/>
        <v>33385000</v>
      </c>
    </row>
    <row r="46" spans="1:49" s="392" customFormat="1" ht="12" customHeight="1">
      <c r="A46" s="402"/>
      <c r="B46" s="402"/>
      <c r="C46" s="402"/>
      <c r="D46" s="402"/>
      <c r="E46" s="403" t="s">
        <v>292</v>
      </c>
      <c r="F46" s="402"/>
      <c r="G46" s="404"/>
      <c r="H46" s="404"/>
      <c r="I46" s="402"/>
      <c r="J46" s="424">
        <f ca="1">MAX(J10+J45-K10-K45,0)</f>
        <v>2182943500</v>
      </c>
      <c r="K46" s="424">
        <f ca="1">MAX(K10+K45-J10-J45,0)</f>
        <v>0</v>
      </c>
      <c r="L46" s="424">
        <f ca="1">MAX(L10+L45-M10-M45,0)</f>
        <v>379787500</v>
      </c>
      <c r="M46" s="424">
        <f ca="1">MAX(M10+M45-L10-L45,0)</f>
        <v>0</v>
      </c>
      <c r="N46" s="424">
        <f ca="1">MAX(N10+N45-O10-O45,0)</f>
        <v>11600690</v>
      </c>
      <c r="O46" s="424">
        <f ca="1">MAX(O10+O45-N10-N45,0)</f>
        <v>0</v>
      </c>
      <c r="P46" s="424">
        <f ca="1">MAX(P10+P45-Q10-Q45,0)</f>
        <v>0</v>
      </c>
      <c r="Q46" s="424">
        <f ca="1">MAX(Q10+Q45-P10-P45,0)</f>
        <v>0</v>
      </c>
      <c r="R46" s="424">
        <f ca="1">MAX(R10+R45-S10-S45,0)</f>
        <v>55000000</v>
      </c>
      <c r="S46" s="424">
        <f ca="1">MAX(S10+S45-R10-R45,0)</f>
        <v>0</v>
      </c>
      <c r="T46" s="424">
        <f ca="1">MAX(T10+T45-U10-U45,0)</f>
        <v>1183433400</v>
      </c>
      <c r="U46" s="424">
        <f ca="1">MAX(U10+U45-T10-T45,0)</f>
        <v>0</v>
      </c>
      <c r="V46" s="424">
        <f ca="1">MAX(V10+V45-W10-W45,0)</f>
        <v>0</v>
      </c>
      <c r="W46" s="424">
        <f ca="1">MAX(W10+W45-V10-V45,0)</f>
        <v>0</v>
      </c>
      <c r="X46" s="424">
        <f ca="1">MAX(X10+X45-Y10-Y45,0)</f>
        <v>0</v>
      </c>
      <c r="Y46" s="424">
        <f ca="1">MAX(Y10+Y45-X10-X45,0)</f>
        <v>0</v>
      </c>
      <c r="Z46" s="424">
        <f ca="1">MAX(Z10+Z45-AA10-AA45,0)</f>
        <v>0</v>
      </c>
      <c r="AA46" s="424">
        <f ca="1">MAX(AA10+AA45-Z10-Z45,0)</f>
        <v>0</v>
      </c>
      <c r="AB46" s="424">
        <f ca="1">MAX(AB10+AB45-AC10-AC45,0)</f>
        <v>0</v>
      </c>
      <c r="AC46" s="424">
        <f ca="1">MAX(AC10+AC45-AB10-AB45,0)</f>
        <v>0</v>
      </c>
      <c r="AD46" s="424">
        <f ca="1">MAX(AD10+AD45-AE10-AE45,0)</f>
        <v>0</v>
      </c>
      <c r="AE46" s="424">
        <f ca="1">MAX(AE10+AE45-AD10-AD45,0)</f>
        <v>4000000000</v>
      </c>
      <c r="AF46" s="424">
        <f ca="1">MAX(AF10+AF45-AG10-AG45,0)</f>
        <v>124728000</v>
      </c>
      <c r="AG46" s="424">
        <f ca="1">MAX(AG10+AG45-AF10-AF45,0)</f>
        <v>0</v>
      </c>
      <c r="AH46" s="424">
        <f ca="1">MAX(AH10+AH45-AI10-AI45,0)</f>
        <v>62506910</v>
      </c>
      <c r="AI46" s="424">
        <f ca="1">MAX(AI10+AI45-AH10-AH45,0)</f>
        <v>0</v>
      </c>
      <c r="AJ46" s="424">
        <f ca="1">MAX(AJ10+AJ45-AK10-AK45,0)</f>
        <v>0</v>
      </c>
      <c r="AK46" s="424">
        <f ca="1">MAX(AK10+AK45-AJ10-AJ45,0)</f>
        <v>0</v>
      </c>
      <c r="AL46" s="424">
        <f ca="1">MAX(AL10+AL45-AM10-AM45,0)</f>
        <v>0</v>
      </c>
      <c r="AM46" s="424">
        <f ca="1">MAX(AM10+AM45-AL10-AL45,0)</f>
        <v>0</v>
      </c>
      <c r="AN46" s="424">
        <f ca="1">MAX(AN10+AN45-AO10-AO45,0)</f>
        <v>0</v>
      </c>
      <c r="AO46" s="424">
        <f ca="1">MAX(AO10+AO45-AN10-AN45,0)</f>
        <v>0</v>
      </c>
      <c r="AP46" s="424">
        <f ca="1">MAX(AP10+AP45-AQ10-AQ45,0)</f>
        <v>0</v>
      </c>
      <c r="AQ46" s="424">
        <f ca="1">MAX(AQ10+AQ45-AP10-AP45,0)</f>
        <v>0</v>
      </c>
      <c r="AR46" s="424">
        <f ca="1">MAX(AR10+AR45-AS10-AS45,0)</f>
        <v>0</v>
      </c>
      <c r="AS46" s="424">
        <f ca="1">MAX(AS10+AS45-AR10-AR45,0)</f>
        <v>0</v>
      </c>
      <c r="AT46" s="424">
        <f ca="1">MAX(AT10+AT45-AU10-AU45,0)</f>
        <v>0</v>
      </c>
      <c r="AU46" s="424">
        <f ca="1">MAX(AU10+AU45-AT10-AT45,0)</f>
        <v>0</v>
      </c>
      <c r="AV46" s="424">
        <f ca="1">MAX(AV10+AV45-AW10-AW45,0)</f>
        <v>0</v>
      </c>
      <c r="AW46" s="424">
        <f ca="1">MAX(AW10+AW45-AV10-AV45,0)</f>
        <v>0</v>
      </c>
    </row>
    <row r="47" spans="1:49" s="392" customFormat="1" ht="12" customHeight="1">
      <c r="A47" s="406"/>
      <c r="B47" s="406"/>
      <c r="C47" s="407"/>
      <c r="D47" s="406"/>
      <c r="E47" s="408" t="s">
        <v>293</v>
      </c>
      <c r="F47" s="406"/>
      <c r="G47" s="409"/>
      <c r="H47" s="409"/>
      <c r="I47" s="406"/>
      <c r="J47" s="406">
        <f ca="1">J45+'01-03'!J66</f>
        <v>0</v>
      </c>
      <c r="K47" s="406">
        <f ca="1">K45+'01-03'!K66</f>
        <v>841700000</v>
      </c>
      <c r="L47" s="406">
        <f ca="1">L45+'01-03'!L66</f>
        <v>874700000</v>
      </c>
      <c r="M47" s="406">
        <f ca="1">M45+'01-03'!M66</f>
        <v>495541000</v>
      </c>
      <c r="N47" s="406">
        <f ca="1">N45+'01-03'!N66</f>
        <v>11600690</v>
      </c>
      <c r="O47" s="406">
        <f ca="1">O45+'01-03'!O66</f>
        <v>0</v>
      </c>
      <c r="P47" s="406">
        <f ca="1">P45+'01-03'!P66</f>
        <v>33000000</v>
      </c>
      <c r="Q47" s="406">
        <f ca="1">Q45+'01-03'!Q66</f>
        <v>33000000</v>
      </c>
      <c r="R47" s="406">
        <f ca="1">R45+'01-03'!R66</f>
        <v>55000000</v>
      </c>
      <c r="S47" s="406">
        <f ca="1">S45+'01-03'!S66</f>
        <v>0</v>
      </c>
      <c r="T47" s="406">
        <f ca="1">T45+'01-03'!T66</f>
        <v>460285400</v>
      </c>
      <c r="U47" s="406">
        <f ca="1">U45+'01-03'!U66</f>
        <v>126852000</v>
      </c>
      <c r="V47" s="406">
        <f ca="1">V45+'01-03'!V66</f>
        <v>0</v>
      </c>
      <c r="W47" s="406">
        <f ca="1">W45+'01-03'!W66</f>
        <v>0</v>
      </c>
      <c r="X47" s="406">
        <f ca="1">X45+'01-03'!X66</f>
        <v>1500000</v>
      </c>
      <c r="Y47" s="406">
        <f ca="1">Y45+'01-03'!Y66</f>
        <v>1500000</v>
      </c>
      <c r="Z47" s="406">
        <f ca="1">Z45+'01-03'!Z66</f>
        <v>471500000</v>
      </c>
      <c r="AA47" s="406">
        <f ca="1">AA45+'01-03'!AA66</f>
        <v>471500000</v>
      </c>
      <c r="AB47" s="406">
        <f ca="1">AB45+'01-03'!AB66</f>
        <v>0</v>
      </c>
      <c r="AC47" s="406">
        <f ca="1">AC45+'01-03'!AC66</f>
        <v>0</v>
      </c>
      <c r="AD47" s="406">
        <f ca="1">AD45+'01-03'!AD66</f>
        <v>0</v>
      </c>
      <c r="AE47" s="406">
        <f ca="1">AE45+'01-03'!AE66</f>
        <v>0</v>
      </c>
      <c r="AF47" s="406">
        <f ca="1">AF45+'01-03'!AF66</f>
        <v>2041200</v>
      </c>
      <c r="AG47" s="406">
        <f ca="1">AG45+'01-03'!AG66</f>
        <v>0</v>
      </c>
      <c r="AH47" s="406">
        <f ca="1">AH45+'01-03'!AH66</f>
        <v>62506910</v>
      </c>
      <c r="AI47" s="406">
        <f ca="1">AI45+'01-03'!AI66</f>
        <v>2041200</v>
      </c>
      <c r="AJ47" s="406">
        <f ca="1">AJ45+'01-03'!AJ66</f>
        <v>0</v>
      </c>
      <c r="AK47" s="406">
        <f ca="1">AK45+'01-03'!AK66</f>
        <v>0</v>
      </c>
      <c r="AL47" s="406">
        <f ca="1">AL45+'01-03'!AL66</f>
        <v>0</v>
      </c>
      <c r="AM47" s="406">
        <f ca="1">AM45+'01-03'!AM66</f>
        <v>0</v>
      </c>
      <c r="AN47" s="406">
        <f ca="1">AN45+'01-03'!AN66</f>
        <v>62506910</v>
      </c>
      <c r="AO47" s="406">
        <f ca="1">AO45+'01-03'!AO66</f>
        <v>62506910</v>
      </c>
      <c r="AP47" s="406">
        <f ca="1">AP45+'01-03'!AP66</f>
        <v>0</v>
      </c>
      <c r="AQ47" s="406">
        <f ca="1">AQ45+'01-03'!AQ66</f>
        <v>0</v>
      </c>
      <c r="AR47" s="406">
        <f ca="1">AR45+'01-03'!AR66</f>
        <v>0</v>
      </c>
      <c r="AS47" s="406">
        <f ca="1">AS45+'01-03'!AS66</f>
        <v>0</v>
      </c>
      <c r="AT47" s="406">
        <f ca="1">AT45+'01-03'!AT66</f>
        <v>0</v>
      </c>
      <c r="AU47" s="406">
        <f ca="1">AU45+'01-03'!AU66</f>
        <v>0</v>
      </c>
      <c r="AV47" s="406">
        <f ca="1">AV45+'01-03'!AV66</f>
        <v>62506910</v>
      </c>
      <c r="AW47" s="406">
        <f ca="1">AW45+'01-03'!AW66</f>
        <v>62506910</v>
      </c>
    </row>
    <row r="48" spans="1:49" ht="12" customHeight="1">
      <c r="B48" s="411"/>
      <c r="C48" s="412"/>
      <c r="D48" s="412"/>
      <c r="E48" s="412"/>
      <c r="F48" s="412"/>
      <c r="G48" s="413"/>
      <c r="H48" s="413"/>
      <c r="I48" s="412"/>
      <c r="J48" s="412"/>
      <c r="K48" s="412"/>
    </row>
    <row r="49" spans="13:48">
      <c r="M49" s="414"/>
      <c r="O49" s="414"/>
      <c r="P49" s="414"/>
      <c r="Q49" s="414"/>
      <c r="R49" s="414"/>
      <c r="S49" s="414"/>
      <c r="T49" s="414"/>
      <c r="AH49" s="415" t="s">
        <v>295</v>
      </c>
      <c r="AI49" s="416"/>
      <c r="AJ49" s="416"/>
      <c r="AK49" s="416"/>
      <c r="AL49" s="416"/>
      <c r="AM49" s="416"/>
      <c r="AN49" s="417"/>
      <c r="AO49" s="417"/>
      <c r="AP49" s="416"/>
    </row>
    <row r="50" spans="13:48">
      <c r="M50" s="414"/>
      <c r="O50" s="414"/>
      <c r="P50" s="414"/>
      <c r="Q50" s="414"/>
      <c r="R50" s="414"/>
      <c r="S50" s="414"/>
      <c r="T50" s="414"/>
      <c r="AH50" s="418" t="s">
        <v>356</v>
      </c>
      <c r="AI50" s="416"/>
      <c r="AJ50" s="416"/>
      <c r="AK50" s="416"/>
      <c r="AL50" s="416"/>
      <c r="AM50" s="416"/>
      <c r="AN50" s="417"/>
      <c r="AO50" s="417"/>
      <c r="AP50" s="416"/>
    </row>
    <row r="51" spans="13:48">
      <c r="M51" s="414"/>
      <c r="O51" s="414"/>
      <c r="P51" s="414"/>
      <c r="Q51" s="414"/>
      <c r="R51" s="414"/>
      <c r="S51" s="414"/>
      <c r="T51" s="414"/>
      <c r="AH51" s="416"/>
      <c r="AI51" s="416"/>
      <c r="AJ51" s="416"/>
      <c r="AK51" s="416"/>
      <c r="AL51" s="416"/>
      <c r="AM51" s="416"/>
      <c r="AN51" s="416"/>
      <c r="AO51" s="416"/>
      <c r="AP51" s="417"/>
    </row>
    <row r="52" spans="13:48">
      <c r="M52" s="414"/>
      <c r="O52" s="414"/>
      <c r="P52" s="414"/>
      <c r="Q52" s="414"/>
      <c r="R52" s="414"/>
      <c r="S52" s="414"/>
      <c r="T52" s="414"/>
      <c r="AH52" s="416"/>
      <c r="AI52" s="416"/>
      <c r="AJ52" s="416"/>
      <c r="AK52" s="416"/>
      <c r="AL52" s="416"/>
      <c r="AM52" s="416"/>
      <c r="AN52" s="416"/>
      <c r="AO52" s="416"/>
      <c r="AP52" s="417"/>
      <c r="AV52" s="419" t="str">
        <f>"Ngày 30 tháng 06 năm 2014 "</f>
        <v xml:space="preserve">Ngày 30 tháng 06 năm 2014 </v>
      </c>
    </row>
    <row r="53" spans="13:48">
      <c r="M53" s="414"/>
      <c r="O53" s="414"/>
      <c r="P53" s="414"/>
      <c r="Q53" s="414"/>
      <c r="R53" s="414"/>
      <c r="S53" s="414"/>
      <c r="T53" s="414"/>
      <c r="AH53" s="416"/>
      <c r="AI53" s="420" t="s">
        <v>13</v>
      </c>
      <c r="AJ53" s="416"/>
      <c r="AK53" s="416"/>
      <c r="AL53" s="416"/>
      <c r="AM53" s="416"/>
      <c r="AN53" s="416"/>
      <c r="AO53" s="421" t="s">
        <v>14</v>
      </c>
      <c r="AP53" s="417"/>
      <c r="AV53" s="420" t="s">
        <v>178</v>
      </c>
    </row>
    <row r="54" spans="13:48">
      <c r="M54" s="414"/>
      <c r="O54" s="414"/>
      <c r="P54" s="414"/>
      <c r="Q54" s="414"/>
      <c r="R54" s="414"/>
      <c r="S54" s="414"/>
      <c r="T54" s="414"/>
      <c r="AH54" s="416"/>
      <c r="AI54" s="422" t="s">
        <v>15</v>
      </c>
      <c r="AJ54" s="416"/>
      <c r="AK54" s="416"/>
      <c r="AL54" s="416"/>
      <c r="AM54" s="416"/>
      <c r="AN54" s="416"/>
      <c r="AO54" s="423" t="s">
        <v>15</v>
      </c>
      <c r="AP54" s="417"/>
      <c r="AV54" s="422" t="s">
        <v>212</v>
      </c>
    </row>
    <row r="55" spans="13:48">
      <c r="M55" s="414"/>
      <c r="O55" s="414"/>
      <c r="P55" s="414"/>
      <c r="Q55" s="414"/>
      <c r="R55" s="414"/>
      <c r="S55" s="414"/>
      <c r="T55" s="414"/>
      <c r="AH55" s="416"/>
      <c r="AI55" s="416"/>
      <c r="AJ55" s="416"/>
      <c r="AK55" s="416"/>
      <c r="AL55" s="416"/>
      <c r="AM55" s="416"/>
      <c r="AN55" s="416"/>
      <c r="AO55" s="416"/>
      <c r="AP55" s="417"/>
      <c r="AV55" s="416"/>
    </row>
    <row r="56" spans="13:48">
      <c r="M56" s="414"/>
      <c r="O56" s="414"/>
      <c r="P56" s="414"/>
      <c r="Q56" s="414"/>
      <c r="R56" s="414"/>
      <c r="S56" s="414"/>
      <c r="T56" s="414"/>
      <c r="AV56" s="416"/>
    </row>
    <row r="57" spans="13:48">
      <c r="M57" s="414"/>
      <c r="O57" s="414"/>
      <c r="P57" s="414"/>
      <c r="Q57" s="414"/>
      <c r="R57" s="414"/>
      <c r="S57" s="414"/>
      <c r="T57" s="414"/>
    </row>
    <row r="58" spans="13:48">
      <c r="M58" s="414"/>
      <c r="O58" s="414"/>
      <c r="P58" s="414"/>
      <c r="Q58" s="414"/>
      <c r="R58" s="414"/>
      <c r="S58" s="414"/>
      <c r="T58" s="414"/>
    </row>
    <row r="59" spans="13:48">
      <c r="M59" s="414"/>
      <c r="O59" s="414"/>
      <c r="P59" s="414"/>
      <c r="Q59" s="414"/>
      <c r="R59" s="414"/>
      <c r="S59" s="414"/>
      <c r="T59" s="414"/>
    </row>
    <row r="60" spans="13:48">
      <c r="M60" s="414"/>
      <c r="O60" s="414"/>
      <c r="P60" s="414"/>
      <c r="Q60" s="414"/>
      <c r="R60" s="414"/>
      <c r="S60" s="414"/>
      <c r="T60" s="414"/>
    </row>
    <row r="61" spans="13:48">
      <c r="M61" s="414"/>
      <c r="O61" s="414"/>
      <c r="P61" s="414"/>
      <c r="Q61" s="414"/>
      <c r="R61" s="414"/>
      <c r="S61" s="414"/>
      <c r="T61" s="414"/>
    </row>
    <row r="62" spans="13:48">
      <c r="M62" s="414"/>
      <c r="O62" s="414"/>
      <c r="P62" s="414"/>
      <c r="Q62" s="414"/>
      <c r="R62" s="414"/>
      <c r="S62" s="414"/>
      <c r="T62" s="414"/>
    </row>
    <row r="63" spans="13:48">
      <c r="M63" s="414"/>
      <c r="O63" s="414"/>
      <c r="P63" s="414"/>
      <c r="Q63" s="414"/>
      <c r="R63" s="414"/>
      <c r="S63" s="414"/>
      <c r="T63" s="414"/>
    </row>
    <row r="64" spans="13:48">
      <c r="M64" s="414"/>
      <c r="O64" s="414"/>
      <c r="P64" s="414"/>
      <c r="Q64" s="414"/>
      <c r="R64" s="414"/>
      <c r="S64" s="414"/>
      <c r="T64" s="414"/>
    </row>
    <row r="65" spans="13:20">
      <c r="M65" s="414"/>
      <c r="O65" s="414"/>
      <c r="P65" s="414"/>
      <c r="Q65" s="414"/>
      <c r="R65" s="414"/>
      <c r="S65" s="414"/>
      <c r="T65" s="414"/>
    </row>
    <row r="66" spans="13:20">
      <c r="M66" s="414"/>
      <c r="O66" s="414"/>
      <c r="P66" s="414"/>
      <c r="Q66" s="414"/>
      <c r="R66" s="414"/>
      <c r="S66" s="414"/>
      <c r="T66" s="414"/>
    </row>
    <row r="67" spans="13:20">
      <c r="M67" s="414"/>
      <c r="O67" s="414"/>
      <c r="P67" s="414"/>
      <c r="Q67" s="414"/>
      <c r="R67" s="414"/>
      <c r="S67" s="414"/>
      <c r="T67" s="414"/>
    </row>
    <row r="68" spans="13:20">
      <c r="M68" s="414"/>
      <c r="O68" s="414"/>
      <c r="P68" s="414"/>
      <c r="Q68" s="414"/>
      <c r="R68" s="414"/>
      <c r="S68" s="414"/>
      <c r="T68" s="414"/>
    </row>
    <row r="69" spans="13:20">
      <c r="M69" s="414"/>
      <c r="O69" s="414"/>
      <c r="P69" s="414"/>
      <c r="Q69" s="414"/>
      <c r="R69" s="414"/>
      <c r="S69" s="414"/>
      <c r="T69" s="414"/>
    </row>
    <row r="70" spans="13:20">
      <c r="M70" s="414"/>
      <c r="O70" s="414"/>
      <c r="P70" s="414"/>
      <c r="Q70" s="414"/>
      <c r="R70" s="414"/>
      <c r="S70" s="414"/>
      <c r="T70" s="414"/>
    </row>
    <row r="71" spans="13:20">
      <c r="M71" s="414"/>
      <c r="O71" s="414"/>
      <c r="P71" s="414"/>
      <c r="Q71" s="414"/>
      <c r="R71" s="414"/>
      <c r="S71" s="414"/>
      <c r="T71" s="414"/>
    </row>
    <row r="72" spans="13:20">
      <c r="M72" s="414"/>
      <c r="O72" s="414"/>
      <c r="P72" s="414"/>
      <c r="Q72" s="414"/>
      <c r="R72" s="414"/>
      <c r="S72" s="414"/>
      <c r="T72" s="414"/>
    </row>
    <row r="73" spans="13:20">
      <c r="M73" s="414"/>
      <c r="O73" s="414"/>
      <c r="P73" s="414"/>
      <c r="Q73" s="414"/>
      <c r="R73" s="414"/>
      <c r="S73" s="414"/>
      <c r="T73" s="414"/>
    </row>
    <row r="74" spans="13:20">
      <c r="M74" s="414"/>
      <c r="O74" s="414"/>
      <c r="P74" s="414"/>
      <c r="Q74" s="414"/>
      <c r="R74" s="414"/>
      <c r="S74" s="414"/>
      <c r="T74" s="414"/>
    </row>
    <row r="75" spans="13:20">
      <c r="M75" s="414"/>
      <c r="O75" s="414"/>
      <c r="P75" s="414"/>
      <c r="Q75" s="414"/>
      <c r="R75" s="414"/>
      <c r="S75" s="414"/>
      <c r="T75" s="414"/>
    </row>
    <row r="76" spans="13:20">
      <c r="M76" s="414"/>
      <c r="O76" s="414"/>
      <c r="P76" s="414"/>
      <c r="Q76" s="414"/>
      <c r="R76" s="414"/>
      <c r="S76" s="414"/>
      <c r="T76" s="414"/>
    </row>
    <row r="77" spans="13:20">
      <c r="M77" s="414"/>
      <c r="O77" s="414"/>
      <c r="P77" s="414"/>
      <c r="Q77" s="414"/>
      <c r="R77" s="414"/>
      <c r="S77" s="414"/>
      <c r="T77" s="414"/>
    </row>
    <row r="78" spans="13:20">
      <c r="M78" s="414"/>
      <c r="O78" s="414"/>
      <c r="P78" s="414"/>
      <c r="Q78" s="414"/>
      <c r="R78" s="414"/>
      <c r="S78" s="414"/>
      <c r="T78" s="414"/>
    </row>
    <row r="79" spans="13:20">
      <c r="M79" s="414"/>
      <c r="O79" s="414"/>
      <c r="P79" s="414"/>
      <c r="Q79" s="414"/>
      <c r="R79" s="414"/>
      <c r="S79" s="414"/>
      <c r="T79" s="414"/>
    </row>
    <row r="80" spans="13:20">
      <c r="M80" s="414"/>
      <c r="O80" s="414"/>
      <c r="P80" s="414"/>
      <c r="Q80" s="414"/>
      <c r="R80" s="414"/>
      <c r="S80" s="414"/>
      <c r="T80" s="414"/>
    </row>
    <row r="81" spans="13:20">
      <c r="M81" s="414"/>
      <c r="O81" s="414"/>
      <c r="P81" s="414"/>
      <c r="Q81" s="414"/>
      <c r="R81" s="414"/>
      <c r="S81" s="414"/>
      <c r="T81" s="414"/>
    </row>
    <row r="82" spans="13:20">
      <c r="M82" s="414"/>
      <c r="O82" s="414"/>
      <c r="P82" s="414"/>
      <c r="Q82" s="414"/>
      <c r="R82" s="414"/>
      <c r="S82" s="414"/>
      <c r="T82" s="414"/>
    </row>
    <row r="83" spans="13:20">
      <c r="M83" s="414"/>
      <c r="O83" s="414"/>
      <c r="P83" s="414"/>
      <c r="Q83" s="414"/>
      <c r="R83" s="414"/>
      <c r="S83" s="414"/>
      <c r="T83" s="414"/>
    </row>
    <row r="84" spans="13:20">
      <c r="M84" s="414"/>
      <c r="O84" s="414"/>
      <c r="P84" s="414"/>
      <c r="Q84" s="414"/>
      <c r="R84" s="414"/>
      <c r="S84" s="414"/>
      <c r="T84" s="414"/>
    </row>
    <row r="85" spans="13:20">
      <c r="M85" s="414"/>
      <c r="O85" s="414"/>
      <c r="P85" s="414"/>
      <c r="Q85" s="414"/>
      <c r="R85" s="414"/>
      <c r="S85" s="414"/>
      <c r="T85" s="414"/>
    </row>
    <row r="86" spans="13:20">
      <c r="M86" s="414"/>
      <c r="O86" s="414"/>
      <c r="P86" s="414"/>
      <c r="Q86" s="414"/>
      <c r="R86" s="414"/>
      <c r="S86" s="414"/>
      <c r="T86" s="414"/>
    </row>
    <row r="87" spans="13:20">
      <c r="M87" s="414"/>
      <c r="O87" s="414"/>
      <c r="P87" s="414"/>
      <c r="Q87" s="414"/>
      <c r="R87" s="414"/>
      <c r="S87" s="414"/>
      <c r="T87" s="414"/>
    </row>
    <row r="88" spans="13:20">
      <c r="M88" s="414"/>
      <c r="O88" s="414"/>
      <c r="P88" s="414"/>
      <c r="Q88" s="414"/>
      <c r="R88" s="414"/>
      <c r="S88" s="414"/>
      <c r="T88" s="414"/>
    </row>
    <row r="89" spans="13:20">
      <c r="M89" s="414"/>
      <c r="O89" s="414"/>
      <c r="P89" s="414"/>
      <c r="Q89" s="414"/>
      <c r="R89" s="414"/>
      <c r="S89" s="414"/>
      <c r="T89" s="414"/>
    </row>
    <row r="90" spans="13:20">
      <c r="M90" s="414"/>
      <c r="O90" s="414"/>
      <c r="P90" s="414"/>
      <c r="Q90" s="414"/>
      <c r="R90" s="414"/>
      <c r="S90" s="414"/>
      <c r="T90" s="414"/>
    </row>
    <row r="91" spans="13:20">
      <c r="M91" s="414"/>
      <c r="O91" s="414"/>
      <c r="P91" s="414"/>
      <c r="Q91" s="414"/>
      <c r="R91" s="414"/>
      <c r="S91" s="414"/>
      <c r="T91" s="414"/>
    </row>
    <row r="92" spans="13:20">
      <c r="M92" s="414"/>
      <c r="O92" s="414"/>
      <c r="P92" s="414"/>
      <c r="Q92" s="414"/>
      <c r="R92" s="414"/>
      <c r="S92" s="414"/>
      <c r="T92" s="414"/>
    </row>
    <row r="93" spans="13:20">
      <c r="M93" s="414"/>
      <c r="O93" s="414"/>
      <c r="P93" s="414"/>
      <c r="Q93" s="414"/>
      <c r="R93" s="414"/>
      <c r="S93" s="414"/>
      <c r="T93" s="414"/>
    </row>
    <row r="94" spans="13:20">
      <c r="M94" s="414"/>
      <c r="O94" s="414"/>
      <c r="P94" s="414"/>
      <c r="Q94" s="414"/>
      <c r="R94" s="414"/>
      <c r="S94" s="414"/>
      <c r="T94" s="414"/>
    </row>
    <row r="95" spans="13:20">
      <c r="M95" s="414"/>
      <c r="O95" s="414"/>
      <c r="P95" s="414"/>
      <c r="Q95" s="414"/>
      <c r="R95" s="414"/>
      <c r="S95" s="414"/>
      <c r="T95" s="414"/>
    </row>
    <row r="96" spans="13:20">
      <c r="M96" s="414"/>
      <c r="O96" s="414"/>
      <c r="P96" s="414"/>
      <c r="Q96" s="414"/>
      <c r="R96" s="414"/>
      <c r="S96" s="414"/>
      <c r="T96" s="414"/>
    </row>
    <row r="97" spans="13:20">
      <c r="M97" s="414"/>
      <c r="O97" s="414"/>
      <c r="P97" s="414"/>
      <c r="Q97" s="414"/>
      <c r="R97" s="414"/>
      <c r="S97" s="414"/>
      <c r="T97" s="414"/>
    </row>
    <row r="98" spans="13:20">
      <c r="M98" s="414"/>
      <c r="O98" s="414"/>
      <c r="P98" s="414"/>
      <c r="Q98" s="414"/>
      <c r="R98" s="414"/>
      <c r="S98" s="414"/>
      <c r="T98" s="414"/>
    </row>
    <row r="99" spans="13:20">
      <c r="M99" s="414"/>
      <c r="O99" s="414"/>
      <c r="P99" s="414"/>
      <c r="Q99" s="414"/>
      <c r="R99" s="414"/>
      <c r="S99" s="414"/>
      <c r="T99" s="414"/>
    </row>
    <row r="100" spans="13:20">
      <c r="M100" s="414"/>
      <c r="O100" s="414"/>
      <c r="P100" s="414"/>
      <c r="Q100" s="414"/>
      <c r="R100" s="414"/>
      <c r="S100" s="414"/>
      <c r="T100" s="414"/>
    </row>
    <row r="101" spans="13:20">
      <c r="M101" s="414"/>
      <c r="O101" s="414"/>
      <c r="P101" s="414"/>
      <c r="Q101" s="414"/>
      <c r="R101" s="414"/>
      <c r="S101" s="414"/>
      <c r="T101" s="414"/>
    </row>
    <row r="102" spans="13:20">
      <c r="M102" s="414"/>
      <c r="O102" s="414"/>
      <c r="P102" s="414"/>
      <c r="Q102" s="414"/>
      <c r="R102" s="414"/>
      <c r="S102" s="414"/>
      <c r="T102" s="414"/>
    </row>
    <row r="103" spans="13:20">
      <c r="M103" s="414"/>
      <c r="O103" s="414"/>
      <c r="P103" s="414"/>
      <c r="Q103" s="414"/>
      <c r="R103" s="414"/>
      <c r="S103" s="414"/>
      <c r="T103" s="414"/>
    </row>
    <row r="104" spans="13:20">
      <c r="M104" s="414"/>
      <c r="O104" s="414"/>
      <c r="P104" s="414"/>
      <c r="Q104" s="414"/>
      <c r="R104" s="414"/>
      <c r="S104" s="414"/>
      <c r="T104" s="414"/>
    </row>
    <row r="105" spans="13:20">
      <c r="M105" s="414"/>
      <c r="O105" s="414"/>
      <c r="P105" s="414"/>
      <c r="Q105" s="414"/>
      <c r="R105" s="414"/>
      <c r="S105" s="414"/>
      <c r="T105" s="414"/>
    </row>
    <row r="106" spans="13:20">
      <c r="M106" s="414"/>
      <c r="O106" s="414"/>
      <c r="P106" s="414"/>
      <c r="Q106" s="414"/>
      <c r="R106" s="414"/>
      <c r="S106" s="414"/>
      <c r="T106" s="414"/>
    </row>
    <row r="107" spans="13:20">
      <c r="M107" s="414"/>
      <c r="O107" s="414"/>
      <c r="P107" s="414"/>
      <c r="Q107" s="414"/>
      <c r="R107" s="414"/>
      <c r="S107" s="414"/>
      <c r="T107" s="414"/>
    </row>
  </sheetData>
  <autoFilter ref="A9:AW47">
    <filterColumn colId="7"/>
  </autoFilter>
  <mergeCells count="31"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</mergeCells>
  <pageMargins left="0.34" right="0.15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AW204"/>
  <sheetViews>
    <sheetView topLeftCell="A7" workbookViewId="0">
      <pane xSplit="8" ySplit="5" topLeftCell="AQ54" activePane="bottomRight" state="frozen"/>
      <selection activeCell="E170" sqref="E170"/>
      <selection pane="topRight" activeCell="E170" sqref="E170"/>
      <selection pane="bottomLeft" activeCell="E170" sqref="E170"/>
      <selection pane="bottomRight" activeCell="F78" sqref="F78"/>
    </sheetView>
  </sheetViews>
  <sheetFormatPr defaultRowHeight="12.75"/>
  <cols>
    <col min="1" max="1" width="4.85546875" style="370" customWidth="1"/>
    <col min="2" max="2" width="9.28515625" style="370" customWidth="1"/>
    <col min="3" max="3" width="7.85546875" style="370" customWidth="1"/>
    <col min="4" max="4" width="9.7109375" style="370" customWidth="1"/>
    <col min="5" max="5" width="45.140625" style="370" customWidth="1"/>
    <col min="6" max="6" width="15.42578125" style="425" customWidth="1"/>
    <col min="7" max="8" width="5.85546875" style="371" customWidth="1"/>
    <col min="9" max="9" width="4.85546875" style="370" customWidth="1"/>
    <col min="10" max="10" width="14.85546875" style="370" customWidth="1"/>
    <col min="11" max="11" width="14.140625" style="370" customWidth="1"/>
    <col min="12" max="12" width="15.7109375" style="370" customWidth="1"/>
    <col min="13" max="13" width="15.5703125" style="370" customWidth="1"/>
    <col min="14" max="14" width="16.5703125" style="370" customWidth="1"/>
    <col min="15" max="15" width="13.28515625" style="370" customWidth="1"/>
    <col min="16" max="16" width="12.85546875" style="370" customWidth="1"/>
    <col min="17" max="17" width="12.42578125" style="370" customWidth="1"/>
    <col min="18" max="18" width="14.7109375" style="370" customWidth="1"/>
    <col min="19" max="19" width="5.5703125" style="370" customWidth="1"/>
    <col min="20" max="20" width="14.7109375" style="370" customWidth="1"/>
    <col min="21" max="21" width="15.28515625" style="370" customWidth="1"/>
    <col min="22" max="22" width="6.85546875" style="370" customWidth="1"/>
    <col min="23" max="23" width="7.42578125" style="370" customWidth="1"/>
    <col min="24" max="24" width="10.5703125" style="370" customWidth="1"/>
    <col min="25" max="25" width="10.28515625" style="370" customWidth="1"/>
    <col min="26" max="26" width="12.28515625" style="370" customWidth="1"/>
    <col min="27" max="27" width="13.85546875" style="370" customWidth="1"/>
    <col min="28" max="28" width="5.5703125" style="370" customWidth="1"/>
    <col min="29" max="29" width="15.28515625" style="370" customWidth="1"/>
    <col min="30" max="30" width="5.42578125" style="370" customWidth="1"/>
    <col min="31" max="31" width="13.85546875" style="370" customWidth="1"/>
    <col min="32" max="32" width="12.28515625" style="370" customWidth="1"/>
    <col min="33" max="33" width="5.28515625" style="370" customWidth="1"/>
    <col min="34" max="34" width="15.140625" style="370" customWidth="1"/>
    <col min="35" max="35" width="14.85546875" style="370" customWidth="1"/>
    <col min="36" max="36" width="9.5703125" style="370" customWidth="1"/>
    <col min="37" max="37" width="9.140625" style="370" customWidth="1"/>
    <col min="38" max="38" width="12.7109375" style="370" customWidth="1"/>
    <col min="39" max="39" width="12.5703125" style="370" customWidth="1"/>
    <col min="40" max="40" width="15.140625" style="370" customWidth="1"/>
    <col min="41" max="41" width="15.5703125" style="370" customWidth="1"/>
    <col min="42" max="43" width="10.85546875" style="370" customWidth="1"/>
    <col min="44" max="44" width="7" style="370" customWidth="1"/>
    <col min="45" max="45" width="7.7109375" style="370" customWidth="1"/>
    <col min="46" max="46" width="7.140625" style="370" customWidth="1"/>
    <col min="47" max="47" width="6.7109375" style="370" customWidth="1"/>
    <col min="48" max="48" width="14.7109375" style="370" customWidth="1"/>
    <col min="49" max="49" width="15.140625" style="370" customWidth="1"/>
    <col min="50" max="16384" width="9.140625" style="370"/>
  </cols>
  <sheetData>
    <row r="1" spans="1:49" ht="12.75" customHeight="1">
      <c r="A1" s="366"/>
      <c r="B1" s="367" t="s">
        <v>161</v>
      </c>
      <c r="C1" s="368"/>
      <c r="D1" s="368"/>
      <c r="E1" s="369"/>
      <c r="I1" s="368"/>
      <c r="M1" s="368" t="s">
        <v>267</v>
      </c>
      <c r="R1" s="368"/>
      <c r="S1" s="368"/>
      <c r="T1" s="368"/>
      <c r="U1" s="368"/>
      <c r="V1" s="368"/>
      <c r="W1" s="368"/>
      <c r="X1" s="368"/>
      <c r="Y1" s="368"/>
      <c r="Z1" s="368"/>
      <c r="AA1" s="368"/>
      <c r="AB1" s="368"/>
      <c r="AC1" s="368"/>
      <c r="AD1" s="368"/>
      <c r="AE1" s="368"/>
      <c r="AF1" s="368"/>
      <c r="AG1" s="368"/>
      <c r="AH1" s="368"/>
      <c r="AI1" s="368"/>
      <c r="AJ1" s="368"/>
      <c r="AK1" s="368"/>
      <c r="AL1" s="369"/>
      <c r="AM1" s="369"/>
      <c r="AN1" s="368"/>
      <c r="AO1" s="368"/>
      <c r="AP1" s="368"/>
      <c r="AQ1" s="368"/>
      <c r="AR1" s="368"/>
      <c r="AS1" s="368"/>
      <c r="AT1" s="368"/>
      <c r="AU1" s="368"/>
      <c r="AV1" s="368"/>
      <c r="AW1" s="368"/>
    </row>
    <row r="2" spans="1:49" ht="12.75" customHeight="1">
      <c r="A2" s="366"/>
      <c r="B2" s="367" t="s">
        <v>247</v>
      </c>
      <c r="C2" s="368"/>
      <c r="D2" s="368"/>
      <c r="E2" s="368"/>
      <c r="I2" s="372"/>
      <c r="M2" s="492" t="s">
        <v>268</v>
      </c>
      <c r="R2" s="372"/>
      <c r="S2" s="372"/>
      <c r="T2" s="372"/>
      <c r="U2" s="372"/>
      <c r="V2" s="372"/>
      <c r="W2" s="372"/>
      <c r="X2" s="372"/>
      <c r="Y2" s="372"/>
      <c r="Z2" s="372"/>
      <c r="AA2" s="372"/>
      <c r="AB2" s="372"/>
      <c r="AC2" s="372"/>
      <c r="AD2" s="372"/>
      <c r="AE2" s="372"/>
      <c r="AF2" s="372"/>
      <c r="AG2" s="372"/>
      <c r="AH2" s="372"/>
      <c r="AI2" s="372"/>
      <c r="AJ2" s="372"/>
      <c r="AK2" s="372"/>
      <c r="AL2" s="373"/>
      <c r="AM2" s="373"/>
      <c r="AN2" s="372"/>
      <c r="AO2" s="372"/>
      <c r="AP2" s="372"/>
      <c r="AQ2" s="372"/>
      <c r="AR2" s="372"/>
      <c r="AS2" s="372"/>
      <c r="AT2" s="372"/>
      <c r="AU2" s="372"/>
      <c r="AV2" s="372"/>
      <c r="AW2" s="372"/>
    </row>
    <row r="3" spans="1:49" ht="10.5" customHeight="1">
      <c r="A3" s="368"/>
      <c r="B3" s="368"/>
      <c r="C3" s="368"/>
      <c r="D3" s="368"/>
      <c r="E3" s="368"/>
      <c r="F3" s="426"/>
      <c r="G3" s="374"/>
      <c r="H3" s="374"/>
      <c r="I3" s="372"/>
      <c r="M3" s="492"/>
      <c r="R3" s="372"/>
      <c r="S3" s="372"/>
      <c r="T3" s="372"/>
      <c r="U3" s="372"/>
      <c r="V3" s="372"/>
      <c r="W3" s="372"/>
      <c r="X3" s="372"/>
      <c r="Y3" s="372"/>
      <c r="Z3" s="372"/>
      <c r="AA3" s="372"/>
      <c r="AB3" s="372"/>
      <c r="AC3" s="372"/>
      <c r="AD3" s="372"/>
      <c r="AE3" s="372"/>
      <c r="AF3" s="372"/>
      <c r="AG3" s="372"/>
      <c r="AH3" s="372"/>
      <c r="AI3" s="372"/>
      <c r="AJ3" s="372"/>
      <c r="AK3" s="372"/>
      <c r="AL3" s="373"/>
      <c r="AM3" s="373"/>
      <c r="AN3" s="372"/>
      <c r="AO3" s="372"/>
      <c r="AP3" s="372"/>
      <c r="AQ3" s="372"/>
      <c r="AR3" s="372"/>
      <c r="AS3" s="372"/>
      <c r="AT3" s="372"/>
      <c r="AU3" s="372"/>
      <c r="AV3" s="372"/>
      <c r="AW3" s="372"/>
    </row>
    <row r="4" spans="1:49" ht="19.5" customHeight="1">
      <c r="B4" s="493" t="s">
        <v>151</v>
      </c>
      <c r="C4" s="493"/>
      <c r="D4" s="493"/>
      <c r="E4" s="493"/>
      <c r="F4" s="502"/>
      <c r="G4" s="493"/>
      <c r="H4" s="493"/>
      <c r="I4" s="493"/>
      <c r="J4" s="493"/>
      <c r="K4" s="493"/>
      <c r="L4" s="493"/>
      <c r="M4" s="493"/>
      <c r="N4" s="375"/>
      <c r="O4" s="375"/>
      <c r="P4" s="375"/>
      <c r="Q4" s="375"/>
      <c r="R4" s="377"/>
      <c r="S4" s="377"/>
      <c r="T4" s="377"/>
      <c r="U4" s="377"/>
      <c r="V4" s="377"/>
      <c r="W4" s="377"/>
      <c r="X4" s="377"/>
      <c r="Y4" s="377"/>
      <c r="Z4" s="377"/>
      <c r="AA4" s="377"/>
      <c r="AB4" s="377"/>
      <c r="AC4" s="377"/>
      <c r="AD4" s="377"/>
      <c r="AE4" s="377"/>
      <c r="AF4" s="377"/>
      <c r="AG4" s="377"/>
      <c r="AH4" s="377"/>
      <c r="AI4" s="377"/>
      <c r="AJ4" s="377"/>
      <c r="AK4" s="377"/>
      <c r="AL4" s="427"/>
      <c r="AM4" s="427"/>
      <c r="AN4" s="377"/>
      <c r="AO4" s="377"/>
      <c r="AP4" s="377"/>
      <c r="AQ4" s="377"/>
      <c r="AR4" s="377"/>
      <c r="AS4" s="377"/>
      <c r="AT4" s="377"/>
      <c r="AU4" s="377"/>
      <c r="AV4" s="377"/>
      <c r="AW4" s="377"/>
    </row>
    <row r="5" spans="1:49" ht="15">
      <c r="B5" s="494" t="s">
        <v>357</v>
      </c>
      <c r="C5" s="494"/>
      <c r="D5" s="494"/>
      <c r="E5" s="494"/>
      <c r="F5" s="494"/>
      <c r="G5" s="494"/>
      <c r="H5" s="494"/>
      <c r="I5" s="494"/>
      <c r="J5" s="494"/>
      <c r="K5" s="494"/>
      <c r="L5" s="494"/>
      <c r="M5" s="494"/>
      <c r="N5" s="494"/>
      <c r="O5" s="494"/>
      <c r="P5" s="494"/>
      <c r="Q5" s="378"/>
      <c r="AL5" s="378"/>
      <c r="AM5" s="378"/>
    </row>
    <row r="7" spans="1:49" ht="13.5" customHeight="1">
      <c r="A7" s="495" t="s">
        <v>50</v>
      </c>
      <c r="B7" s="497" t="s">
        <v>30</v>
      </c>
      <c r="C7" s="498" t="s">
        <v>1</v>
      </c>
      <c r="D7" s="499"/>
      <c r="E7" s="497" t="s">
        <v>0</v>
      </c>
      <c r="F7" s="497" t="s">
        <v>152</v>
      </c>
      <c r="G7" s="500" t="s">
        <v>153</v>
      </c>
      <c r="H7" s="500"/>
      <c r="I7" s="501" t="s">
        <v>50</v>
      </c>
      <c r="J7" s="497" t="s">
        <v>269</v>
      </c>
      <c r="K7" s="497"/>
      <c r="L7" s="497" t="s">
        <v>270</v>
      </c>
      <c r="M7" s="497"/>
      <c r="N7" s="497" t="s">
        <v>271</v>
      </c>
      <c r="O7" s="497"/>
      <c r="P7" s="497" t="s">
        <v>272</v>
      </c>
      <c r="Q7" s="497"/>
      <c r="R7" s="497" t="s">
        <v>273</v>
      </c>
      <c r="S7" s="497"/>
      <c r="T7" s="497" t="s">
        <v>274</v>
      </c>
      <c r="U7" s="497"/>
      <c r="V7" s="497" t="s">
        <v>275</v>
      </c>
      <c r="W7" s="497"/>
      <c r="X7" s="497" t="s">
        <v>276</v>
      </c>
      <c r="Y7" s="497"/>
      <c r="Z7" s="497" t="s">
        <v>277</v>
      </c>
      <c r="AA7" s="497"/>
      <c r="AB7" s="497" t="s">
        <v>278</v>
      </c>
      <c r="AC7" s="497"/>
      <c r="AD7" s="497" t="s">
        <v>279</v>
      </c>
      <c r="AE7" s="497"/>
      <c r="AF7" s="497" t="s">
        <v>280</v>
      </c>
      <c r="AG7" s="497"/>
      <c r="AH7" s="497" t="s">
        <v>281</v>
      </c>
      <c r="AI7" s="497"/>
      <c r="AJ7" s="497" t="s">
        <v>282</v>
      </c>
      <c r="AK7" s="497"/>
      <c r="AL7" s="497" t="s">
        <v>283</v>
      </c>
      <c r="AM7" s="497"/>
      <c r="AN7" s="497" t="s">
        <v>284</v>
      </c>
      <c r="AO7" s="497"/>
      <c r="AP7" s="497" t="s">
        <v>285</v>
      </c>
      <c r="AQ7" s="497"/>
      <c r="AR7" s="497" t="s">
        <v>286</v>
      </c>
      <c r="AS7" s="497"/>
      <c r="AT7" s="497" t="s">
        <v>287</v>
      </c>
      <c r="AU7" s="497"/>
      <c r="AV7" s="497" t="s">
        <v>288</v>
      </c>
      <c r="AW7" s="497"/>
    </row>
    <row r="8" spans="1:49" ht="22.5" customHeight="1">
      <c r="A8" s="496"/>
      <c r="B8" s="497"/>
      <c r="C8" s="381" t="s">
        <v>19</v>
      </c>
      <c r="D8" s="380" t="s">
        <v>42</v>
      </c>
      <c r="E8" s="497"/>
      <c r="F8" s="497"/>
      <c r="G8" s="382" t="s">
        <v>32</v>
      </c>
      <c r="H8" s="382" t="s">
        <v>33</v>
      </c>
      <c r="I8" s="501"/>
      <c r="J8" s="380" t="s">
        <v>32</v>
      </c>
      <c r="K8" s="380" t="s">
        <v>33</v>
      </c>
      <c r="L8" s="380" t="s">
        <v>32</v>
      </c>
      <c r="M8" s="380" t="s">
        <v>33</v>
      </c>
      <c r="N8" s="380" t="s">
        <v>32</v>
      </c>
      <c r="O8" s="380" t="s">
        <v>33</v>
      </c>
      <c r="P8" s="380" t="s">
        <v>32</v>
      </c>
      <c r="Q8" s="380" t="s">
        <v>33</v>
      </c>
      <c r="R8" s="380" t="s">
        <v>32</v>
      </c>
      <c r="S8" s="380" t="s">
        <v>33</v>
      </c>
      <c r="T8" s="380" t="s">
        <v>32</v>
      </c>
      <c r="U8" s="380" t="s">
        <v>33</v>
      </c>
      <c r="V8" s="380" t="s">
        <v>32</v>
      </c>
      <c r="W8" s="380" t="s">
        <v>33</v>
      </c>
      <c r="X8" s="380" t="s">
        <v>32</v>
      </c>
      <c r="Y8" s="380" t="s">
        <v>33</v>
      </c>
      <c r="Z8" s="380" t="s">
        <v>32</v>
      </c>
      <c r="AA8" s="380" t="s">
        <v>33</v>
      </c>
      <c r="AB8" s="380" t="s">
        <v>32</v>
      </c>
      <c r="AC8" s="380" t="s">
        <v>33</v>
      </c>
      <c r="AD8" s="380" t="s">
        <v>32</v>
      </c>
      <c r="AE8" s="380" t="s">
        <v>33</v>
      </c>
      <c r="AF8" s="380" t="s">
        <v>32</v>
      </c>
      <c r="AG8" s="380" t="s">
        <v>33</v>
      </c>
      <c r="AH8" s="380" t="s">
        <v>32</v>
      </c>
      <c r="AI8" s="380" t="s">
        <v>33</v>
      </c>
      <c r="AJ8" s="380" t="s">
        <v>32</v>
      </c>
      <c r="AK8" s="380" t="s">
        <v>33</v>
      </c>
      <c r="AL8" s="380" t="s">
        <v>32</v>
      </c>
      <c r="AM8" s="380" t="s">
        <v>33</v>
      </c>
      <c r="AN8" s="380" t="s">
        <v>32</v>
      </c>
      <c r="AO8" s="380" t="s">
        <v>33</v>
      </c>
      <c r="AP8" s="380" t="s">
        <v>32</v>
      </c>
      <c r="AQ8" s="380" t="s">
        <v>33</v>
      </c>
      <c r="AR8" s="380" t="s">
        <v>32</v>
      </c>
      <c r="AS8" s="380" t="s">
        <v>33</v>
      </c>
      <c r="AT8" s="380" t="s">
        <v>32</v>
      </c>
      <c r="AU8" s="380" t="s">
        <v>33</v>
      </c>
      <c r="AV8" s="380" t="s">
        <v>32</v>
      </c>
      <c r="AW8" s="380" t="s">
        <v>33</v>
      </c>
    </row>
    <row r="9" spans="1:49" s="384" customFormat="1" ht="8.25" customHeight="1">
      <c r="A9" s="383">
        <v>1</v>
      </c>
      <c r="B9" s="383">
        <v>2</v>
      </c>
      <c r="C9" s="383">
        <v>3</v>
      </c>
      <c r="D9" s="383">
        <v>4</v>
      </c>
      <c r="E9" s="383">
        <v>5</v>
      </c>
      <c r="F9" s="383">
        <v>6</v>
      </c>
      <c r="G9" s="383">
        <v>7</v>
      </c>
      <c r="H9" s="383">
        <v>8</v>
      </c>
      <c r="I9" s="383">
        <v>9</v>
      </c>
      <c r="J9" s="383">
        <v>10</v>
      </c>
      <c r="K9" s="383">
        <v>11</v>
      </c>
      <c r="L9" s="383">
        <v>12</v>
      </c>
      <c r="M9" s="383">
        <v>13</v>
      </c>
      <c r="N9" s="383">
        <v>14</v>
      </c>
      <c r="O9" s="383">
        <v>15</v>
      </c>
      <c r="P9" s="383">
        <v>16</v>
      </c>
      <c r="Q9" s="383">
        <v>17</v>
      </c>
      <c r="R9" s="383">
        <v>18</v>
      </c>
      <c r="S9" s="383">
        <v>19</v>
      </c>
      <c r="T9" s="383">
        <v>20</v>
      </c>
      <c r="U9" s="383">
        <v>21</v>
      </c>
      <c r="V9" s="383">
        <v>22</v>
      </c>
      <c r="W9" s="383">
        <v>23</v>
      </c>
      <c r="X9" s="383">
        <v>24</v>
      </c>
      <c r="Y9" s="383">
        <v>25</v>
      </c>
      <c r="Z9" s="383">
        <v>26</v>
      </c>
      <c r="AA9" s="383">
        <v>27</v>
      </c>
      <c r="AB9" s="383">
        <v>28</v>
      </c>
      <c r="AC9" s="383">
        <v>29</v>
      </c>
      <c r="AD9" s="383">
        <v>30</v>
      </c>
      <c r="AE9" s="383">
        <v>31</v>
      </c>
      <c r="AF9" s="383">
        <v>32</v>
      </c>
      <c r="AG9" s="383">
        <v>33</v>
      </c>
      <c r="AH9" s="383">
        <v>34</v>
      </c>
      <c r="AI9" s="383">
        <v>35</v>
      </c>
      <c r="AJ9" s="383">
        <v>36</v>
      </c>
      <c r="AK9" s="383">
        <v>37</v>
      </c>
      <c r="AL9" s="383">
        <v>38</v>
      </c>
      <c r="AM9" s="383">
        <v>39</v>
      </c>
      <c r="AN9" s="383">
        <v>40</v>
      </c>
      <c r="AO9" s="383">
        <v>41</v>
      </c>
      <c r="AP9" s="383">
        <v>42</v>
      </c>
      <c r="AQ9" s="383">
        <v>43</v>
      </c>
      <c r="AR9" s="383">
        <v>44</v>
      </c>
      <c r="AS9" s="383">
        <v>45</v>
      </c>
      <c r="AT9" s="383">
        <v>46</v>
      </c>
      <c r="AU9" s="383">
        <v>47</v>
      </c>
      <c r="AV9" s="383">
        <v>48</v>
      </c>
      <c r="AW9" s="383">
        <v>49</v>
      </c>
    </row>
    <row r="10" spans="1:49" s="392" customFormat="1" ht="12" customHeight="1">
      <c r="A10" s="63" t="str">
        <f t="array" ref="A10">IF(C10&lt;&gt;0,SUM(($C10:C$16&lt;&gt;0)*1),"")</f>
        <v/>
      </c>
      <c r="B10" s="385"/>
      <c r="C10" s="386"/>
      <c r="D10" s="385"/>
      <c r="E10" s="387" t="s">
        <v>239</v>
      </c>
      <c r="F10" s="388"/>
      <c r="G10" s="389"/>
      <c r="H10" s="389"/>
      <c r="I10" s="390"/>
      <c r="J10" s="391">
        <f ca="1">'04-06'!J46</f>
        <v>2182943500</v>
      </c>
      <c r="K10" s="391">
        <f ca="1">'04-06'!K46</f>
        <v>0</v>
      </c>
      <c r="L10" s="391">
        <f ca="1">'04-06'!L46</f>
        <v>379787500</v>
      </c>
      <c r="M10" s="391">
        <f ca="1">'04-06'!M46</f>
        <v>0</v>
      </c>
      <c r="N10" s="391">
        <f ca="1">'04-06'!N46</f>
        <v>11600690</v>
      </c>
      <c r="O10" s="391">
        <f ca="1">'04-06'!O46</f>
        <v>0</v>
      </c>
      <c r="P10" s="391">
        <f ca="1">'04-06'!P46</f>
        <v>0</v>
      </c>
      <c r="Q10" s="391">
        <f ca="1">'04-06'!Q46</f>
        <v>0</v>
      </c>
      <c r="R10" s="391">
        <f ca="1">'04-06'!R46</f>
        <v>55000000</v>
      </c>
      <c r="S10" s="391">
        <f ca="1">'04-06'!S46</f>
        <v>0</v>
      </c>
      <c r="T10" s="391">
        <f ca="1">'04-06'!T46</f>
        <v>1183433400</v>
      </c>
      <c r="U10" s="391">
        <f ca="1">'04-06'!U46</f>
        <v>0</v>
      </c>
      <c r="V10" s="391">
        <f ca="1">'04-06'!V46</f>
        <v>0</v>
      </c>
      <c r="W10" s="391">
        <f ca="1">'04-06'!W46</f>
        <v>0</v>
      </c>
      <c r="X10" s="391">
        <f ca="1">'04-06'!X46</f>
        <v>0</v>
      </c>
      <c r="Y10" s="391">
        <f ca="1">'04-06'!Y46</f>
        <v>0</v>
      </c>
      <c r="Z10" s="391">
        <f ca="1">'04-06'!Z46</f>
        <v>0</v>
      </c>
      <c r="AA10" s="391">
        <f ca="1">'04-06'!AA46</f>
        <v>0</v>
      </c>
      <c r="AB10" s="391">
        <f ca="1">'04-06'!AB46</f>
        <v>0</v>
      </c>
      <c r="AC10" s="391">
        <f ca="1">'04-06'!AC46</f>
        <v>0</v>
      </c>
      <c r="AD10" s="391">
        <f ca="1">'04-06'!AD46</f>
        <v>0</v>
      </c>
      <c r="AE10" s="391">
        <f ca="1">'04-06'!AE46</f>
        <v>4000000000</v>
      </c>
      <c r="AF10" s="391">
        <f ca="1">'04-06'!AF46</f>
        <v>124728000</v>
      </c>
      <c r="AG10" s="391">
        <f ca="1">'04-06'!AG46</f>
        <v>0</v>
      </c>
      <c r="AH10" s="391">
        <f ca="1">'04-06'!AH46</f>
        <v>62506910</v>
      </c>
      <c r="AI10" s="391">
        <f ca="1">'04-06'!AI46</f>
        <v>0</v>
      </c>
      <c r="AJ10" s="391">
        <f ca="1">'04-06'!AJ46</f>
        <v>0</v>
      </c>
      <c r="AK10" s="391">
        <f ca="1">'04-06'!AK46</f>
        <v>0</v>
      </c>
      <c r="AL10" s="391">
        <f ca="1">'04-06'!AL46</f>
        <v>0</v>
      </c>
      <c r="AM10" s="391">
        <f ca="1">'04-06'!AM46</f>
        <v>0</v>
      </c>
      <c r="AN10" s="391">
        <f ca="1">'04-06'!AN46</f>
        <v>0</v>
      </c>
      <c r="AO10" s="391">
        <f ca="1">'04-06'!AO46</f>
        <v>0</v>
      </c>
      <c r="AP10" s="391">
        <f ca="1">'04-06'!AP46</f>
        <v>0</v>
      </c>
      <c r="AQ10" s="391">
        <f ca="1">'04-06'!AQ46</f>
        <v>0</v>
      </c>
      <c r="AR10" s="391">
        <f ca="1">'04-06'!AR46</f>
        <v>0</v>
      </c>
      <c r="AS10" s="391">
        <f ca="1">'04-06'!AS46</f>
        <v>0</v>
      </c>
      <c r="AT10" s="391">
        <f ca="1">'04-06'!AT46</f>
        <v>0</v>
      </c>
      <c r="AU10" s="391">
        <f ca="1">'04-06'!AU46</f>
        <v>0</v>
      </c>
      <c r="AV10" s="391">
        <f ca="1">'04-06'!AV46</f>
        <v>0</v>
      </c>
      <c r="AW10" s="391">
        <f ca="1">'04-06'!AW46</f>
        <v>0</v>
      </c>
    </row>
    <row r="11" spans="1:49" s="392" customFormat="1" ht="12" customHeight="1">
      <c r="A11" s="63">
        <f t="array" aca="1" ref="A11" ca="1">IF(C11&lt;&gt;0,SUM(($C$11:C11&lt;&gt;0)*1),"")</f>
        <v>1</v>
      </c>
      <c r="B11" s="393">
        <f ca="1">IF(ROWS($1:1)&gt;COUNT(Dong8),"",OFFSET(TH!C$1,SMALL(Dong8,ROWS($1:1)),))</f>
        <v>41821</v>
      </c>
      <c r="C11" s="393" t="str">
        <f ca="1">IF(ROWS($1:1)&gt;COUNT(Dong8),"",OFFSET(TH!D$1,SMALL(Dong8,ROWS($1:1)),))</f>
        <v>GBN</v>
      </c>
      <c r="D11" s="393">
        <f ca="1">IF(ROWS($1:1)&gt;COUNT(Dong8),"",OFFSET(TH!E$1,SMALL(Dong8,ROWS($1:1)),))</f>
        <v>41821</v>
      </c>
      <c r="E11" s="443" t="str">
        <f ca="1">IF(ROWS($1:1)&gt;COUNT(Dong8),"",OFFSET(TH!F$1,SMALL(Dong8,ROWS($1:1)),))</f>
        <v>Phí DV internet banking</v>
      </c>
      <c r="F11" s="444">
        <f ca="1">IF(ROWS($1:1)&gt;COUNT(Dong8),"",OFFSET(TH!I$1,SMALL(Dong8,ROWS($1:1)),))</f>
        <v>100000</v>
      </c>
      <c r="G11" s="446" t="str">
        <f ca="1">IF(ROWS($1:1)&gt;COUNT(Dong8),"",OFFSET(TH!J$1,SMALL(Dong8,ROWS($1:1)),))</f>
        <v>642</v>
      </c>
      <c r="H11" s="446" t="str">
        <f ca="1">IF(ROWS($1:1)&gt;COUNT(Dong8),"",OFFSET(TH!K$1,SMALL(Dong8,ROWS($1:1)),))</f>
        <v>1121</v>
      </c>
      <c r="I11" s="63">
        <f t="shared" ref="I11:I26" ca="1" si="0">A11</f>
        <v>1</v>
      </c>
      <c r="J11" s="395">
        <f t="shared" ref="J11:J74" ca="1" si="1">IF($G11="1111",$F11,0)</f>
        <v>0</v>
      </c>
      <c r="K11" s="395">
        <f t="shared" ref="K11:K74" ca="1" si="2">IF($H11="1111",$F11,0)</f>
        <v>0</v>
      </c>
      <c r="L11" s="395">
        <f t="shared" ref="L11:L74" ca="1" si="3">IF($G11="1121",$F11,0)</f>
        <v>0</v>
      </c>
      <c r="M11" s="395">
        <f t="shared" ref="M11:M74" ca="1" si="4">IF($H11="1121",$F11,0)</f>
        <v>100000</v>
      </c>
      <c r="N11" s="395">
        <f t="shared" ref="N11:N74" ca="1" si="5">IF($G11="1331",$F11,0)</f>
        <v>0</v>
      </c>
      <c r="O11" s="395">
        <f t="shared" ref="O11:O74" ca="1" si="6">IF($H11="1331",$F11,0)</f>
        <v>0</v>
      </c>
      <c r="P11" s="395">
        <f t="shared" ref="P11:P74" ca="1" si="7">IF($G11="1388",$F11,0)</f>
        <v>0</v>
      </c>
      <c r="Q11" s="395">
        <f t="shared" ref="Q11:Q74" ca="1" si="8">IF($H11="1388",$F11,0)</f>
        <v>0</v>
      </c>
      <c r="R11" s="395">
        <f ca="1">IF($G11="2412",$F11,0)</f>
        <v>0</v>
      </c>
      <c r="S11" s="395">
        <f ca="1">IF($H11="2412",$F11,0)</f>
        <v>0</v>
      </c>
      <c r="T11" s="395">
        <f t="shared" ref="T11:T74" ca="1" si="9">IF($G11="331",$F11,0)</f>
        <v>0</v>
      </c>
      <c r="U11" s="395">
        <f t="shared" ref="U11:U74" ca="1" si="10">IF($H11="331",$F11,0)</f>
        <v>0</v>
      </c>
      <c r="V11" s="395">
        <f t="shared" ref="V11:V74" ca="1" si="11">IF($G11="3334",$F11,0)</f>
        <v>0</v>
      </c>
      <c r="W11" s="395">
        <f t="shared" ref="W11:W74" ca="1" si="12">IF($H11="3334",$F11,0)</f>
        <v>0</v>
      </c>
      <c r="X11" s="395">
        <f t="shared" ref="X11:X74" ca="1" si="13">IF($G11="33382",$F11,0)</f>
        <v>0</v>
      </c>
      <c r="Y11" s="395">
        <f t="shared" ref="Y11:Y74" ca="1" si="14">IF($H11="33382",$F11,0)</f>
        <v>0</v>
      </c>
      <c r="Z11" s="395">
        <f t="shared" ref="Z11:Z74" ca="1" si="15">IF($G11="3388",$F11,0)</f>
        <v>0</v>
      </c>
      <c r="AA11" s="395">
        <f t="shared" ref="AA11:AA74" ca="1" si="16">IF($H11="3388",$F11,0)</f>
        <v>0</v>
      </c>
      <c r="AB11" s="395">
        <f t="shared" ref="AB11:AB74" ca="1" si="17">IF($G11="3411",$F11,0)</f>
        <v>0</v>
      </c>
      <c r="AC11" s="395">
        <f t="shared" ref="AC11:AC74" ca="1" si="18">IF($H11="3411",$F11,0)</f>
        <v>0</v>
      </c>
      <c r="AD11" s="395">
        <f t="shared" ref="AD11:AD74" ca="1" si="19">IF($G11="4111",$F11,0)</f>
        <v>0</v>
      </c>
      <c r="AE11" s="395">
        <f t="shared" ref="AE11:AE74" ca="1" si="20">IF($H11="4111",$F11,0)</f>
        <v>0</v>
      </c>
      <c r="AF11" s="395">
        <f t="shared" ref="AF11:AF74" ca="1" si="21">IF($G11="4211",$F11,0)</f>
        <v>0</v>
      </c>
      <c r="AG11" s="395">
        <f t="shared" ref="AG11:AG74" ca="1" si="22">IF($H11="4211",$F11,0)</f>
        <v>0</v>
      </c>
      <c r="AH11" s="395">
        <f t="shared" ref="AH11:AH74" ca="1" si="23">IF($G11="4212",$F11,0)</f>
        <v>0</v>
      </c>
      <c r="AI11" s="395">
        <f t="shared" ref="AI11:AI74" ca="1" si="24">IF($H11="4212",$F11,0)</f>
        <v>0</v>
      </c>
      <c r="AJ11" s="395">
        <f t="shared" ref="AJ11:AJ74" ca="1" si="25">IF($G11="515",$F11,0)</f>
        <v>0</v>
      </c>
      <c r="AK11" s="395">
        <f t="shared" ref="AK11:AK74" ca="1" si="26">IF($H11="515",$F11,0)</f>
        <v>0</v>
      </c>
      <c r="AL11" s="395">
        <f t="shared" ref="AL11:AL74" ca="1" si="27">IF($G11="635",$F11,0)</f>
        <v>0</v>
      </c>
      <c r="AM11" s="395">
        <f t="shared" ref="AM11:AM74" ca="1" si="28">IF($H11="635",$F11,0)</f>
        <v>0</v>
      </c>
      <c r="AN11" s="395">
        <f t="shared" ref="AN11:AN74" ca="1" si="29">IF($G11="642",$F11,0)</f>
        <v>100000</v>
      </c>
      <c r="AO11" s="395">
        <f t="shared" ref="AO11:AO74" ca="1" si="30">IF($H11="642",$F11,0)</f>
        <v>0</v>
      </c>
      <c r="AP11" s="395">
        <f t="shared" ref="AP11:AP74" ca="1" si="31">IF($G11="711",$F11,0)</f>
        <v>0</v>
      </c>
      <c r="AQ11" s="395">
        <f t="shared" ref="AQ11:AQ74" ca="1" si="32">IF($H11="711",$F11,0)</f>
        <v>0</v>
      </c>
      <c r="AR11" s="395">
        <f t="shared" ref="AR11:AR74" ca="1" si="33">IF($G11="811",$F11,0)</f>
        <v>0</v>
      </c>
      <c r="AS11" s="395">
        <f t="shared" ref="AS11:AS74" ca="1" si="34">IF($H11="811",$F11,0)</f>
        <v>0</v>
      </c>
      <c r="AT11" s="395">
        <f t="shared" ref="AT11:AT74" ca="1" si="35">IF($G11="821",$F11,0)</f>
        <v>0</v>
      </c>
      <c r="AU11" s="395">
        <f t="shared" ref="AU11:AU74" ca="1" si="36">IF($H11="821",$F11,0)</f>
        <v>0</v>
      </c>
      <c r="AV11" s="395">
        <f t="shared" ref="AV11:AV74" ca="1" si="37">IF($G11="911",$F11,0)</f>
        <v>0</v>
      </c>
      <c r="AW11" s="395">
        <f t="shared" ref="AW11:AW74" ca="1" si="38">IF($H11="911",$F11,0)</f>
        <v>0</v>
      </c>
    </row>
    <row r="12" spans="1:49" s="392" customFormat="1" ht="12" customHeight="1">
      <c r="A12" s="63">
        <f t="array" aca="1" ref="A12" ca="1">IF(C12&lt;&gt;0,SUM(($C$11:C12&lt;&gt;0)*1),"")</f>
        <v>2</v>
      </c>
      <c r="B12" s="393">
        <f ca="1">IF(ROWS($1:2)&gt;COUNT(Dong8),"",OFFSET(TH!C$1,SMALL(Dong8,ROWS($1:2)),))</f>
        <v>41821</v>
      </c>
      <c r="C12" s="393" t="str">
        <f ca="1">IF(ROWS($1:2)&gt;COUNT(Dong8),"",OFFSET(TH!D$1,SMALL(Dong8,ROWS($1:2)),))</f>
        <v>GBN</v>
      </c>
      <c r="D12" s="393">
        <f ca="1">IF(ROWS($1:2)&gt;COUNT(Dong8),"",OFFSET(TH!E$1,SMALL(Dong8,ROWS($1:2)),))</f>
        <v>41821</v>
      </c>
      <c r="E12" s="443" t="str">
        <f ca="1">IF(ROWS($1:2)&gt;COUNT(Dong8),"",OFFSET(TH!F$1,SMALL(Dong8,ROWS($1:2)),))</f>
        <v>VAT Phí DV internet banking</v>
      </c>
      <c r="F12" s="444">
        <f ca="1">IF(ROWS($1:2)&gt;COUNT(Dong8),"",OFFSET(TH!I$1,SMALL(Dong8,ROWS($1:2)),))</f>
        <v>10000</v>
      </c>
      <c r="G12" s="456" t="str">
        <f ca="1">IF(ROWS($1:2)&gt;COUNT(Dong8),"",OFFSET(TH!J$1,SMALL(Dong8,ROWS($1:2)),))</f>
        <v>1331</v>
      </c>
      <c r="H12" s="456" t="str">
        <f ca="1">IF(ROWS($1:2)&gt;COUNT(Dong8),"",OFFSET(TH!K$1,SMALL(Dong8,ROWS($1:2)),))</f>
        <v>1121</v>
      </c>
      <c r="I12" s="63">
        <f t="shared" ca="1" si="0"/>
        <v>2</v>
      </c>
      <c r="J12" s="395">
        <f t="shared" ca="1" si="1"/>
        <v>0</v>
      </c>
      <c r="K12" s="395">
        <f t="shared" ca="1" si="2"/>
        <v>0</v>
      </c>
      <c r="L12" s="395">
        <f t="shared" ca="1" si="3"/>
        <v>0</v>
      </c>
      <c r="M12" s="395">
        <f t="shared" ca="1" si="4"/>
        <v>10000</v>
      </c>
      <c r="N12" s="395">
        <f t="shared" ca="1" si="5"/>
        <v>10000</v>
      </c>
      <c r="O12" s="395">
        <f t="shared" ca="1" si="6"/>
        <v>0</v>
      </c>
      <c r="P12" s="395">
        <f t="shared" ca="1" si="7"/>
        <v>0</v>
      </c>
      <c r="Q12" s="395">
        <f t="shared" ca="1" si="8"/>
        <v>0</v>
      </c>
      <c r="R12" s="395">
        <f t="shared" ref="R12:R75" ca="1" si="39">IF($G12="2412",$F12,0)</f>
        <v>0</v>
      </c>
      <c r="S12" s="395">
        <f t="shared" ref="S12:S75" ca="1" si="40">IF($H12="2412",$F12,0)</f>
        <v>0</v>
      </c>
      <c r="T12" s="395">
        <f t="shared" ca="1" si="9"/>
        <v>0</v>
      </c>
      <c r="U12" s="395">
        <f t="shared" ca="1" si="10"/>
        <v>0</v>
      </c>
      <c r="V12" s="395">
        <f t="shared" ca="1" si="11"/>
        <v>0</v>
      </c>
      <c r="W12" s="395">
        <f t="shared" ca="1" si="12"/>
        <v>0</v>
      </c>
      <c r="X12" s="395">
        <f t="shared" ca="1" si="13"/>
        <v>0</v>
      </c>
      <c r="Y12" s="395">
        <f t="shared" ca="1" si="14"/>
        <v>0</v>
      </c>
      <c r="Z12" s="395">
        <f t="shared" ca="1" si="15"/>
        <v>0</v>
      </c>
      <c r="AA12" s="395">
        <f t="shared" ca="1" si="16"/>
        <v>0</v>
      </c>
      <c r="AB12" s="395">
        <f t="shared" ca="1" si="17"/>
        <v>0</v>
      </c>
      <c r="AC12" s="395">
        <f t="shared" ca="1" si="18"/>
        <v>0</v>
      </c>
      <c r="AD12" s="395">
        <f t="shared" ca="1" si="19"/>
        <v>0</v>
      </c>
      <c r="AE12" s="395">
        <f t="shared" ca="1" si="20"/>
        <v>0</v>
      </c>
      <c r="AF12" s="395">
        <f t="shared" ca="1" si="21"/>
        <v>0</v>
      </c>
      <c r="AG12" s="395">
        <f t="shared" ca="1" si="22"/>
        <v>0</v>
      </c>
      <c r="AH12" s="395">
        <f t="shared" ca="1" si="23"/>
        <v>0</v>
      </c>
      <c r="AI12" s="395">
        <f t="shared" ca="1" si="24"/>
        <v>0</v>
      </c>
      <c r="AJ12" s="395">
        <f t="shared" ca="1" si="25"/>
        <v>0</v>
      </c>
      <c r="AK12" s="395">
        <f t="shared" ca="1" si="26"/>
        <v>0</v>
      </c>
      <c r="AL12" s="395">
        <f t="shared" ca="1" si="27"/>
        <v>0</v>
      </c>
      <c r="AM12" s="395">
        <f t="shared" ca="1" si="28"/>
        <v>0</v>
      </c>
      <c r="AN12" s="395">
        <f t="shared" ca="1" si="29"/>
        <v>0</v>
      </c>
      <c r="AO12" s="395">
        <f t="shared" ca="1" si="30"/>
        <v>0</v>
      </c>
      <c r="AP12" s="395">
        <f t="shared" ca="1" si="31"/>
        <v>0</v>
      </c>
      <c r="AQ12" s="395">
        <f t="shared" ca="1" si="32"/>
        <v>0</v>
      </c>
      <c r="AR12" s="395">
        <f t="shared" ca="1" si="33"/>
        <v>0</v>
      </c>
      <c r="AS12" s="395">
        <f t="shared" ca="1" si="34"/>
        <v>0</v>
      </c>
      <c r="AT12" s="395">
        <f t="shared" ca="1" si="35"/>
        <v>0</v>
      </c>
      <c r="AU12" s="395">
        <f t="shared" ca="1" si="36"/>
        <v>0</v>
      </c>
      <c r="AV12" s="395">
        <f t="shared" ca="1" si="37"/>
        <v>0</v>
      </c>
      <c r="AW12" s="395">
        <f t="shared" ca="1" si="38"/>
        <v>0</v>
      </c>
    </row>
    <row r="13" spans="1:49" s="392" customFormat="1" ht="12" customHeight="1">
      <c r="A13" s="63">
        <f t="array" aca="1" ref="A13" ca="1">IF(C13&lt;&gt;0,SUM(($C$11:C13&lt;&gt;0)*1),"")</f>
        <v>3</v>
      </c>
      <c r="B13" s="393">
        <f ca="1">IF(ROWS($1:3)&gt;COUNT(Dong8),"",OFFSET(TH!C$1,SMALL(Dong8,ROWS($1:3)),))</f>
        <v>41834</v>
      </c>
      <c r="C13" s="393" t="str">
        <f ca="1">IF(ROWS($1:3)&gt;COUNT(Dong8),"",OFFSET(TH!D$1,SMALL(Dong8,ROWS($1:3)),))</f>
        <v>GBN</v>
      </c>
      <c r="D13" s="393">
        <f ca="1">IF(ROWS($1:3)&gt;COUNT(Dong8),"",OFFSET(TH!E$1,SMALL(Dong8,ROWS($1:3)),))</f>
        <v>41834</v>
      </c>
      <c r="E13" s="443" t="str">
        <f ca="1">IF(ROWS($1:3)&gt;COUNT(Dong8),"",OFFSET(TH!F$1,SMALL(Dong8,ROWS($1:3)),))</f>
        <v>Ứng tiền cọc betong IBS</v>
      </c>
      <c r="F13" s="444">
        <f ca="1">IF(ROWS($1:3)&gt;COUNT(Dong8),"",OFFSET(TH!I$1,SMALL(Dong8,ROWS($1:3)),))</f>
        <v>378779940</v>
      </c>
      <c r="G13" s="456" t="str">
        <f ca="1">IF(ROWS($1:3)&gt;COUNT(Dong8),"",OFFSET(TH!J$1,SMALL(Dong8,ROWS($1:3)),))</f>
        <v>331</v>
      </c>
      <c r="H13" s="456" t="str">
        <f ca="1">IF(ROWS($1:3)&gt;COUNT(Dong8),"",OFFSET(TH!K$1,SMALL(Dong8,ROWS($1:3)),))</f>
        <v>1121</v>
      </c>
      <c r="I13" s="63">
        <f t="shared" ca="1" si="0"/>
        <v>3</v>
      </c>
      <c r="J13" s="395">
        <f t="shared" ca="1" si="1"/>
        <v>0</v>
      </c>
      <c r="K13" s="395">
        <f t="shared" ca="1" si="2"/>
        <v>0</v>
      </c>
      <c r="L13" s="395">
        <f t="shared" ca="1" si="3"/>
        <v>0</v>
      </c>
      <c r="M13" s="395">
        <f t="shared" ca="1" si="4"/>
        <v>378779940</v>
      </c>
      <c r="N13" s="395">
        <f t="shared" ca="1" si="5"/>
        <v>0</v>
      </c>
      <c r="O13" s="395">
        <f t="shared" ca="1" si="6"/>
        <v>0</v>
      </c>
      <c r="P13" s="395">
        <f t="shared" ca="1" si="7"/>
        <v>0</v>
      </c>
      <c r="Q13" s="395">
        <f t="shared" ca="1" si="8"/>
        <v>0</v>
      </c>
      <c r="R13" s="395">
        <f t="shared" ca="1" si="39"/>
        <v>0</v>
      </c>
      <c r="S13" s="395">
        <f t="shared" ca="1" si="40"/>
        <v>0</v>
      </c>
      <c r="T13" s="395">
        <f t="shared" ca="1" si="9"/>
        <v>378779940</v>
      </c>
      <c r="U13" s="395">
        <f t="shared" ca="1" si="10"/>
        <v>0</v>
      </c>
      <c r="V13" s="395">
        <f t="shared" ca="1" si="11"/>
        <v>0</v>
      </c>
      <c r="W13" s="395">
        <f t="shared" ca="1" si="12"/>
        <v>0</v>
      </c>
      <c r="X13" s="395">
        <f t="shared" ca="1" si="13"/>
        <v>0</v>
      </c>
      <c r="Y13" s="395">
        <f t="shared" ca="1" si="14"/>
        <v>0</v>
      </c>
      <c r="Z13" s="395">
        <f t="shared" ca="1" si="15"/>
        <v>0</v>
      </c>
      <c r="AA13" s="395">
        <f t="shared" ca="1" si="16"/>
        <v>0</v>
      </c>
      <c r="AB13" s="395">
        <f t="shared" ca="1" si="17"/>
        <v>0</v>
      </c>
      <c r="AC13" s="395">
        <f t="shared" ca="1" si="18"/>
        <v>0</v>
      </c>
      <c r="AD13" s="395">
        <f t="shared" ca="1" si="19"/>
        <v>0</v>
      </c>
      <c r="AE13" s="395">
        <f t="shared" ca="1" si="20"/>
        <v>0</v>
      </c>
      <c r="AF13" s="395">
        <f t="shared" ca="1" si="21"/>
        <v>0</v>
      </c>
      <c r="AG13" s="395">
        <f t="shared" ca="1" si="22"/>
        <v>0</v>
      </c>
      <c r="AH13" s="395">
        <f t="shared" ca="1" si="23"/>
        <v>0</v>
      </c>
      <c r="AI13" s="395">
        <f t="shared" ca="1" si="24"/>
        <v>0</v>
      </c>
      <c r="AJ13" s="395">
        <f t="shared" ca="1" si="25"/>
        <v>0</v>
      </c>
      <c r="AK13" s="395">
        <f t="shared" ca="1" si="26"/>
        <v>0</v>
      </c>
      <c r="AL13" s="395">
        <f t="shared" ca="1" si="27"/>
        <v>0</v>
      </c>
      <c r="AM13" s="395">
        <f t="shared" ca="1" si="28"/>
        <v>0</v>
      </c>
      <c r="AN13" s="395">
        <f t="shared" ca="1" si="29"/>
        <v>0</v>
      </c>
      <c r="AO13" s="395">
        <f t="shared" ca="1" si="30"/>
        <v>0</v>
      </c>
      <c r="AP13" s="395">
        <f t="shared" ca="1" si="31"/>
        <v>0</v>
      </c>
      <c r="AQ13" s="395">
        <f t="shared" ca="1" si="32"/>
        <v>0</v>
      </c>
      <c r="AR13" s="395">
        <f t="shared" ca="1" si="33"/>
        <v>0</v>
      </c>
      <c r="AS13" s="395">
        <f t="shared" ca="1" si="34"/>
        <v>0</v>
      </c>
      <c r="AT13" s="395">
        <f t="shared" ca="1" si="35"/>
        <v>0</v>
      </c>
      <c r="AU13" s="395">
        <f t="shared" ca="1" si="36"/>
        <v>0</v>
      </c>
      <c r="AV13" s="395">
        <f t="shared" ca="1" si="37"/>
        <v>0</v>
      </c>
      <c r="AW13" s="395">
        <f t="shared" ca="1" si="38"/>
        <v>0</v>
      </c>
    </row>
    <row r="14" spans="1:49" s="392" customFormat="1" ht="12" customHeight="1">
      <c r="A14" s="63">
        <f t="array" aca="1" ref="A14" ca="1">IF(C14&lt;&gt;0,SUM(($C$11:C14&lt;&gt;0)*1),"")</f>
        <v>4</v>
      </c>
      <c r="B14" s="393">
        <f ca="1">IF(ROWS($1:4)&gt;COUNT(Dong8),"",OFFSET(TH!C$1,SMALL(Dong8,ROWS($1:4)),))</f>
        <v>41843</v>
      </c>
      <c r="C14" s="393" t="str">
        <f ca="1">IF(ROWS($1:4)&gt;COUNT(Dong8),"",OFFSET(TH!D$1,SMALL(Dong8,ROWS($1:4)),))</f>
        <v>C01</v>
      </c>
      <c r="D14" s="393">
        <f ca="1">IF(ROWS($1:4)&gt;COUNT(Dong8),"",OFFSET(TH!E$1,SMALL(Dong8,ROWS($1:4)),))</f>
        <v>41843</v>
      </c>
      <c r="E14" s="443" t="str">
        <f ca="1">IF(ROWS($1:4)&gt;COUNT(Dong8),"",OFFSET(TH!F$1,SMALL(Dong8,ROWS($1:4)),))</f>
        <v>Nộp tiền mặt vào tài khoản ngân hàng</v>
      </c>
      <c r="F14" s="444">
        <f ca="1">IF(ROWS($1:4)&gt;COUNT(Dong8),"",OFFSET(TH!I$1,SMALL(Dong8,ROWS($1:4)),))</f>
        <v>20000000</v>
      </c>
      <c r="G14" s="456" t="str">
        <f ca="1">IF(ROWS($1:4)&gt;COUNT(Dong8),"",OFFSET(TH!J$1,SMALL(Dong8,ROWS($1:4)),))</f>
        <v>1121</v>
      </c>
      <c r="H14" s="456" t="str">
        <f ca="1">IF(ROWS($1:4)&gt;COUNT(Dong8),"",OFFSET(TH!K$1,SMALL(Dong8,ROWS($1:4)),))</f>
        <v>1111</v>
      </c>
      <c r="I14" s="63">
        <f t="shared" ca="1" si="0"/>
        <v>4</v>
      </c>
      <c r="J14" s="395">
        <f t="shared" ca="1" si="1"/>
        <v>0</v>
      </c>
      <c r="K14" s="395">
        <f t="shared" ca="1" si="2"/>
        <v>20000000</v>
      </c>
      <c r="L14" s="395">
        <f t="shared" ca="1" si="3"/>
        <v>20000000</v>
      </c>
      <c r="M14" s="395">
        <f t="shared" ca="1" si="4"/>
        <v>0</v>
      </c>
      <c r="N14" s="395">
        <f t="shared" ca="1" si="5"/>
        <v>0</v>
      </c>
      <c r="O14" s="395">
        <f t="shared" ca="1" si="6"/>
        <v>0</v>
      </c>
      <c r="P14" s="395">
        <f t="shared" ca="1" si="7"/>
        <v>0</v>
      </c>
      <c r="Q14" s="395">
        <f t="shared" ca="1" si="8"/>
        <v>0</v>
      </c>
      <c r="R14" s="395">
        <f t="shared" ca="1" si="39"/>
        <v>0</v>
      </c>
      <c r="S14" s="395">
        <f t="shared" ca="1" si="40"/>
        <v>0</v>
      </c>
      <c r="T14" s="395">
        <f t="shared" ca="1" si="9"/>
        <v>0</v>
      </c>
      <c r="U14" s="395">
        <f t="shared" ca="1" si="10"/>
        <v>0</v>
      </c>
      <c r="V14" s="395">
        <f t="shared" ca="1" si="11"/>
        <v>0</v>
      </c>
      <c r="W14" s="395">
        <f t="shared" ca="1" si="12"/>
        <v>0</v>
      </c>
      <c r="X14" s="395">
        <f t="shared" ca="1" si="13"/>
        <v>0</v>
      </c>
      <c r="Y14" s="395">
        <f t="shared" ca="1" si="14"/>
        <v>0</v>
      </c>
      <c r="Z14" s="395">
        <f t="shared" ca="1" si="15"/>
        <v>0</v>
      </c>
      <c r="AA14" s="395">
        <f t="shared" ca="1" si="16"/>
        <v>0</v>
      </c>
      <c r="AB14" s="395">
        <f t="shared" ca="1" si="17"/>
        <v>0</v>
      </c>
      <c r="AC14" s="395">
        <f t="shared" ca="1" si="18"/>
        <v>0</v>
      </c>
      <c r="AD14" s="395">
        <f t="shared" ca="1" si="19"/>
        <v>0</v>
      </c>
      <c r="AE14" s="395">
        <f t="shared" ca="1" si="20"/>
        <v>0</v>
      </c>
      <c r="AF14" s="395">
        <f t="shared" ca="1" si="21"/>
        <v>0</v>
      </c>
      <c r="AG14" s="395">
        <f t="shared" ca="1" si="22"/>
        <v>0</v>
      </c>
      <c r="AH14" s="395">
        <f t="shared" ca="1" si="23"/>
        <v>0</v>
      </c>
      <c r="AI14" s="395">
        <f t="shared" ca="1" si="24"/>
        <v>0</v>
      </c>
      <c r="AJ14" s="395">
        <f t="shared" ca="1" si="25"/>
        <v>0</v>
      </c>
      <c r="AK14" s="395">
        <f t="shared" ca="1" si="26"/>
        <v>0</v>
      </c>
      <c r="AL14" s="395">
        <f t="shared" ca="1" si="27"/>
        <v>0</v>
      </c>
      <c r="AM14" s="395">
        <f t="shared" ca="1" si="28"/>
        <v>0</v>
      </c>
      <c r="AN14" s="395">
        <f t="shared" ca="1" si="29"/>
        <v>0</v>
      </c>
      <c r="AO14" s="395">
        <f t="shared" ca="1" si="30"/>
        <v>0</v>
      </c>
      <c r="AP14" s="395">
        <f t="shared" ca="1" si="31"/>
        <v>0</v>
      </c>
      <c r="AQ14" s="395">
        <f t="shared" ca="1" si="32"/>
        <v>0</v>
      </c>
      <c r="AR14" s="395">
        <f t="shared" ca="1" si="33"/>
        <v>0</v>
      </c>
      <c r="AS14" s="395">
        <f t="shared" ca="1" si="34"/>
        <v>0</v>
      </c>
      <c r="AT14" s="395">
        <f t="shared" ca="1" si="35"/>
        <v>0</v>
      </c>
      <c r="AU14" s="395">
        <f t="shared" ca="1" si="36"/>
        <v>0</v>
      </c>
      <c r="AV14" s="395">
        <f t="shared" ca="1" si="37"/>
        <v>0</v>
      </c>
      <c r="AW14" s="395">
        <f t="shared" ca="1" si="38"/>
        <v>0</v>
      </c>
    </row>
    <row r="15" spans="1:49" s="392" customFormat="1" ht="12" customHeight="1">
      <c r="A15" s="63">
        <f t="array" aca="1" ref="A15" ca="1">IF(C15&lt;&gt;0,SUM(($C$11:C15&lt;&gt;0)*1),"")</f>
        <v>5</v>
      </c>
      <c r="B15" s="393">
        <f ca="1">IF(ROWS($1:5)&gt;COUNT(Dong8),"",OFFSET(TH!C$1,SMALL(Dong8,ROWS($1:5)),))</f>
        <v>41843</v>
      </c>
      <c r="C15" s="393" t="str">
        <f ca="1">IF(ROWS($1:5)&gt;COUNT(Dong8),"",OFFSET(TH!D$1,SMALL(Dong8,ROWS($1:5)),))</f>
        <v>GBN</v>
      </c>
      <c r="D15" s="393">
        <f ca="1">IF(ROWS($1:5)&gt;COUNT(Dong8),"",OFFSET(TH!E$1,SMALL(Dong8,ROWS($1:5)),))</f>
        <v>41843</v>
      </c>
      <c r="E15" s="443" t="str">
        <f ca="1">IF(ROWS($1:5)&gt;COUNT(Dong8),"",OFFSET(TH!F$1,SMALL(Dong8,ROWS($1:5)),))</f>
        <v>Ứng tiền cọc betong Tân Tài</v>
      </c>
      <c r="F15" s="444">
        <f ca="1">IF(ROWS($1:5)&gt;COUNT(Dong8),"",OFFSET(TH!I$1,SMALL(Dong8,ROWS($1:5)),))</f>
        <v>20000000</v>
      </c>
      <c r="G15" s="456" t="str">
        <f ca="1">IF(ROWS($1:5)&gt;COUNT(Dong8),"",OFFSET(TH!J$1,SMALL(Dong8,ROWS($1:5)),))</f>
        <v>331</v>
      </c>
      <c r="H15" s="456" t="str">
        <f ca="1">IF(ROWS($1:5)&gt;COUNT(Dong8),"",OFFSET(TH!K$1,SMALL(Dong8,ROWS($1:5)),))</f>
        <v>1121</v>
      </c>
      <c r="I15" s="63">
        <f t="shared" ca="1" si="0"/>
        <v>5</v>
      </c>
      <c r="J15" s="395">
        <f t="shared" ca="1" si="1"/>
        <v>0</v>
      </c>
      <c r="K15" s="395">
        <f t="shared" ca="1" si="2"/>
        <v>0</v>
      </c>
      <c r="L15" s="395">
        <f t="shared" ca="1" si="3"/>
        <v>0</v>
      </c>
      <c r="M15" s="395">
        <f t="shared" ca="1" si="4"/>
        <v>20000000</v>
      </c>
      <c r="N15" s="395">
        <f t="shared" ca="1" si="5"/>
        <v>0</v>
      </c>
      <c r="O15" s="395">
        <f t="shared" ca="1" si="6"/>
        <v>0</v>
      </c>
      <c r="P15" s="395">
        <f t="shared" ca="1" si="7"/>
        <v>0</v>
      </c>
      <c r="Q15" s="395">
        <f t="shared" ca="1" si="8"/>
        <v>0</v>
      </c>
      <c r="R15" s="395">
        <f t="shared" ca="1" si="39"/>
        <v>0</v>
      </c>
      <c r="S15" s="395">
        <f t="shared" ca="1" si="40"/>
        <v>0</v>
      </c>
      <c r="T15" s="395">
        <f t="shared" ca="1" si="9"/>
        <v>20000000</v>
      </c>
      <c r="U15" s="395">
        <f t="shared" ca="1" si="10"/>
        <v>0</v>
      </c>
      <c r="V15" s="395">
        <f t="shared" ca="1" si="11"/>
        <v>0</v>
      </c>
      <c r="W15" s="395">
        <f t="shared" ca="1" si="12"/>
        <v>0</v>
      </c>
      <c r="X15" s="395">
        <f t="shared" ca="1" si="13"/>
        <v>0</v>
      </c>
      <c r="Y15" s="395">
        <f t="shared" ca="1" si="14"/>
        <v>0</v>
      </c>
      <c r="Z15" s="395">
        <f t="shared" ca="1" si="15"/>
        <v>0</v>
      </c>
      <c r="AA15" s="395">
        <f t="shared" ca="1" si="16"/>
        <v>0</v>
      </c>
      <c r="AB15" s="395">
        <f t="shared" ca="1" si="17"/>
        <v>0</v>
      </c>
      <c r="AC15" s="395">
        <f t="shared" ca="1" si="18"/>
        <v>0</v>
      </c>
      <c r="AD15" s="395">
        <f t="shared" ca="1" si="19"/>
        <v>0</v>
      </c>
      <c r="AE15" s="395">
        <f t="shared" ca="1" si="20"/>
        <v>0</v>
      </c>
      <c r="AF15" s="395">
        <f t="shared" ca="1" si="21"/>
        <v>0</v>
      </c>
      <c r="AG15" s="395">
        <f t="shared" ca="1" si="22"/>
        <v>0</v>
      </c>
      <c r="AH15" s="395">
        <f t="shared" ca="1" si="23"/>
        <v>0</v>
      </c>
      <c r="AI15" s="395">
        <f t="shared" ca="1" si="24"/>
        <v>0</v>
      </c>
      <c r="AJ15" s="395">
        <f t="shared" ca="1" si="25"/>
        <v>0</v>
      </c>
      <c r="AK15" s="395">
        <f t="shared" ca="1" si="26"/>
        <v>0</v>
      </c>
      <c r="AL15" s="395">
        <f t="shared" ca="1" si="27"/>
        <v>0</v>
      </c>
      <c r="AM15" s="395">
        <f t="shared" ca="1" si="28"/>
        <v>0</v>
      </c>
      <c r="AN15" s="395">
        <f t="shared" ca="1" si="29"/>
        <v>0</v>
      </c>
      <c r="AO15" s="395">
        <f t="shared" ca="1" si="30"/>
        <v>0</v>
      </c>
      <c r="AP15" s="395">
        <f t="shared" ca="1" si="31"/>
        <v>0</v>
      </c>
      <c r="AQ15" s="395">
        <f t="shared" ca="1" si="32"/>
        <v>0</v>
      </c>
      <c r="AR15" s="395">
        <f t="shared" ca="1" si="33"/>
        <v>0</v>
      </c>
      <c r="AS15" s="395">
        <f t="shared" ca="1" si="34"/>
        <v>0</v>
      </c>
      <c r="AT15" s="395">
        <f t="shared" ca="1" si="35"/>
        <v>0</v>
      </c>
      <c r="AU15" s="395">
        <f t="shared" ca="1" si="36"/>
        <v>0</v>
      </c>
      <c r="AV15" s="395">
        <f t="shared" ca="1" si="37"/>
        <v>0</v>
      </c>
      <c r="AW15" s="395">
        <f t="shared" ca="1" si="38"/>
        <v>0</v>
      </c>
    </row>
    <row r="16" spans="1:49" s="392" customFormat="1" ht="12" customHeight="1">
      <c r="A16" s="63">
        <f t="array" aca="1" ref="A16" ca="1">IF(C16&lt;&gt;0,SUM(($C$11:C16&lt;&gt;0)*1),"")</f>
        <v>6</v>
      </c>
      <c r="B16" s="393">
        <f ca="1">IF(ROWS($1:6)&gt;COUNT(Dong8),"",OFFSET(TH!C$1,SMALL(Dong8,ROWS($1:6)),))</f>
        <v>41843</v>
      </c>
      <c r="C16" s="393" t="str">
        <f ca="1">IF(ROWS($1:6)&gt;COUNT(Dong8),"",OFFSET(TH!D$1,SMALL(Dong8,ROWS($1:6)),))</f>
        <v>GBN</v>
      </c>
      <c r="D16" s="393">
        <f ca="1">IF(ROWS($1:6)&gt;COUNT(Dong8),"",OFFSET(TH!E$1,SMALL(Dong8,ROWS($1:6)),))</f>
        <v>41843</v>
      </c>
      <c r="E16" s="443" t="str">
        <f ca="1">IF(ROWS($1:6)&gt;COUNT(Dong8),"",OFFSET(TH!F$1,SMALL(Dong8,ROWS($1:6)),))</f>
        <v xml:space="preserve">Phí chuyển tiền </v>
      </c>
      <c r="F16" s="444">
        <f ca="1">IF(ROWS($1:6)&gt;COUNT(Dong8),"",OFFSET(TH!I$1,SMALL(Dong8,ROWS($1:6)),))</f>
        <v>45000</v>
      </c>
      <c r="G16" s="456" t="str">
        <f ca="1">IF(ROWS($1:6)&gt;COUNT(Dong8),"",OFFSET(TH!J$1,SMALL(Dong8,ROWS($1:6)),))</f>
        <v>642</v>
      </c>
      <c r="H16" s="456" t="str">
        <f ca="1">IF(ROWS($1:6)&gt;COUNT(Dong8),"",OFFSET(TH!K$1,SMALL(Dong8,ROWS($1:6)),))</f>
        <v>1121</v>
      </c>
      <c r="I16" s="63">
        <f t="shared" ca="1" si="0"/>
        <v>6</v>
      </c>
      <c r="J16" s="395">
        <f t="shared" ca="1" si="1"/>
        <v>0</v>
      </c>
      <c r="K16" s="395">
        <f t="shared" ca="1" si="2"/>
        <v>0</v>
      </c>
      <c r="L16" s="395">
        <f t="shared" ca="1" si="3"/>
        <v>0</v>
      </c>
      <c r="M16" s="395">
        <f t="shared" ca="1" si="4"/>
        <v>45000</v>
      </c>
      <c r="N16" s="395">
        <f t="shared" ca="1" si="5"/>
        <v>0</v>
      </c>
      <c r="O16" s="395">
        <f t="shared" ca="1" si="6"/>
        <v>0</v>
      </c>
      <c r="P16" s="395">
        <f t="shared" ca="1" si="7"/>
        <v>0</v>
      </c>
      <c r="Q16" s="395">
        <f t="shared" ca="1" si="8"/>
        <v>0</v>
      </c>
      <c r="R16" s="395">
        <f t="shared" ca="1" si="39"/>
        <v>0</v>
      </c>
      <c r="S16" s="395">
        <f t="shared" ca="1" si="40"/>
        <v>0</v>
      </c>
      <c r="T16" s="395">
        <f t="shared" ca="1" si="9"/>
        <v>0</v>
      </c>
      <c r="U16" s="395">
        <f t="shared" ca="1" si="10"/>
        <v>0</v>
      </c>
      <c r="V16" s="395">
        <f t="shared" ca="1" si="11"/>
        <v>0</v>
      </c>
      <c r="W16" s="395">
        <f t="shared" ca="1" si="12"/>
        <v>0</v>
      </c>
      <c r="X16" s="395">
        <f t="shared" ca="1" si="13"/>
        <v>0</v>
      </c>
      <c r="Y16" s="395">
        <f t="shared" ca="1" si="14"/>
        <v>0</v>
      </c>
      <c r="Z16" s="395">
        <f t="shared" ca="1" si="15"/>
        <v>0</v>
      </c>
      <c r="AA16" s="395">
        <f t="shared" ca="1" si="16"/>
        <v>0</v>
      </c>
      <c r="AB16" s="395">
        <f t="shared" ca="1" si="17"/>
        <v>0</v>
      </c>
      <c r="AC16" s="395">
        <f t="shared" ca="1" si="18"/>
        <v>0</v>
      </c>
      <c r="AD16" s="395">
        <f t="shared" ca="1" si="19"/>
        <v>0</v>
      </c>
      <c r="AE16" s="395">
        <f t="shared" ca="1" si="20"/>
        <v>0</v>
      </c>
      <c r="AF16" s="395">
        <f t="shared" ca="1" si="21"/>
        <v>0</v>
      </c>
      <c r="AG16" s="395">
        <f t="shared" ca="1" si="22"/>
        <v>0</v>
      </c>
      <c r="AH16" s="395">
        <f t="shared" ca="1" si="23"/>
        <v>0</v>
      </c>
      <c r="AI16" s="395">
        <f t="shared" ca="1" si="24"/>
        <v>0</v>
      </c>
      <c r="AJ16" s="395">
        <f t="shared" ca="1" si="25"/>
        <v>0</v>
      </c>
      <c r="AK16" s="395">
        <f t="shared" ca="1" si="26"/>
        <v>0</v>
      </c>
      <c r="AL16" s="395">
        <f t="shared" ca="1" si="27"/>
        <v>0</v>
      </c>
      <c r="AM16" s="395">
        <f t="shared" ca="1" si="28"/>
        <v>0</v>
      </c>
      <c r="AN16" s="395">
        <f t="shared" ca="1" si="29"/>
        <v>45000</v>
      </c>
      <c r="AO16" s="395">
        <f t="shared" ca="1" si="30"/>
        <v>0</v>
      </c>
      <c r="AP16" s="395">
        <f t="shared" ca="1" si="31"/>
        <v>0</v>
      </c>
      <c r="AQ16" s="395">
        <f t="shared" ca="1" si="32"/>
        <v>0</v>
      </c>
      <c r="AR16" s="395">
        <f t="shared" ca="1" si="33"/>
        <v>0</v>
      </c>
      <c r="AS16" s="395">
        <f t="shared" ca="1" si="34"/>
        <v>0</v>
      </c>
      <c r="AT16" s="395">
        <f t="shared" ca="1" si="35"/>
        <v>0</v>
      </c>
      <c r="AU16" s="395">
        <f t="shared" ca="1" si="36"/>
        <v>0</v>
      </c>
      <c r="AV16" s="395">
        <f t="shared" ca="1" si="37"/>
        <v>0</v>
      </c>
      <c r="AW16" s="395">
        <f t="shared" ca="1" si="38"/>
        <v>0</v>
      </c>
    </row>
    <row r="17" spans="1:49" s="392" customFormat="1" ht="12" customHeight="1">
      <c r="A17" s="63">
        <f t="array" aca="1" ref="A17" ca="1">IF(C17&lt;&gt;0,SUM(($C$11:C17&lt;&gt;0)*1),"")</f>
        <v>7</v>
      </c>
      <c r="B17" s="393">
        <f ca="1">IF(ROWS($1:7)&gt;COUNT(Dong8),"",OFFSET(TH!C$1,SMALL(Dong8,ROWS($1:7)),))</f>
        <v>41843</v>
      </c>
      <c r="C17" s="393" t="str">
        <f ca="1">IF(ROWS($1:7)&gt;COUNT(Dong8),"",OFFSET(TH!D$1,SMALL(Dong8,ROWS($1:7)),))</f>
        <v>GBN</v>
      </c>
      <c r="D17" s="393">
        <f ca="1">IF(ROWS($1:7)&gt;COUNT(Dong8),"",OFFSET(TH!E$1,SMALL(Dong8,ROWS($1:7)),))</f>
        <v>41843</v>
      </c>
      <c r="E17" s="443" t="str">
        <f ca="1">IF(ROWS($1:7)&gt;COUNT(Dong8),"",OFFSET(TH!F$1,SMALL(Dong8,ROWS($1:7)),))</f>
        <v xml:space="preserve">VAT Phí chuyển tiền </v>
      </c>
      <c r="F17" s="444">
        <f ca="1">IF(ROWS($1:7)&gt;COUNT(Dong8),"",OFFSET(TH!I$1,SMALL(Dong8,ROWS($1:7)),))</f>
        <v>4500</v>
      </c>
      <c r="G17" s="456" t="str">
        <f ca="1">IF(ROWS($1:7)&gt;COUNT(Dong8),"",OFFSET(TH!J$1,SMALL(Dong8,ROWS($1:7)),))</f>
        <v>1331</v>
      </c>
      <c r="H17" s="456" t="str">
        <f ca="1">IF(ROWS($1:7)&gt;COUNT(Dong8),"",OFFSET(TH!K$1,SMALL(Dong8,ROWS($1:7)),))</f>
        <v>1121</v>
      </c>
      <c r="I17" s="63">
        <f t="shared" ca="1" si="0"/>
        <v>7</v>
      </c>
      <c r="J17" s="395">
        <f t="shared" ca="1" si="1"/>
        <v>0</v>
      </c>
      <c r="K17" s="395">
        <f t="shared" ca="1" si="2"/>
        <v>0</v>
      </c>
      <c r="L17" s="395">
        <f t="shared" ca="1" si="3"/>
        <v>0</v>
      </c>
      <c r="M17" s="395">
        <f t="shared" ca="1" si="4"/>
        <v>4500</v>
      </c>
      <c r="N17" s="395">
        <f t="shared" ca="1" si="5"/>
        <v>4500</v>
      </c>
      <c r="O17" s="395">
        <f t="shared" ca="1" si="6"/>
        <v>0</v>
      </c>
      <c r="P17" s="395">
        <f t="shared" ca="1" si="7"/>
        <v>0</v>
      </c>
      <c r="Q17" s="395">
        <f t="shared" ca="1" si="8"/>
        <v>0</v>
      </c>
      <c r="R17" s="395">
        <f t="shared" ca="1" si="39"/>
        <v>0</v>
      </c>
      <c r="S17" s="395">
        <f t="shared" ca="1" si="40"/>
        <v>0</v>
      </c>
      <c r="T17" s="395">
        <f t="shared" ca="1" si="9"/>
        <v>0</v>
      </c>
      <c r="U17" s="395">
        <f t="shared" ca="1" si="10"/>
        <v>0</v>
      </c>
      <c r="V17" s="395">
        <f t="shared" ca="1" si="11"/>
        <v>0</v>
      </c>
      <c r="W17" s="395">
        <f t="shared" ca="1" si="12"/>
        <v>0</v>
      </c>
      <c r="X17" s="395">
        <f t="shared" ca="1" si="13"/>
        <v>0</v>
      </c>
      <c r="Y17" s="395">
        <f t="shared" ca="1" si="14"/>
        <v>0</v>
      </c>
      <c r="Z17" s="395">
        <f t="shared" ca="1" si="15"/>
        <v>0</v>
      </c>
      <c r="AA17" s="395">
        <f t="shared" ca="1" si="16"/>
        <v>0</v>
      </c>
      <c r="AB17" s="395">
        <f t="shared" ca="1" si="17"/>
        <v>0</v>
      </c>
      <c r="AC17" s="395">
        <f t="shared" ca="1" si="18"/>
        <v>0</v>
      </c>
      <c r="AD17" s="395">
        <f t="shared" ca="1" si="19"/>
        <v>0</v>
      </c>
      <c r="AE17" s="395">
        <f t="shared" ca="1" si="20"/>
        <v>0</v>
      </c>
      <c r="AF17" s="395">
        <f t="shared" ca="1" si="21"/>
        <v>0</v>
      </c>
      <c r="AG17" s="395">
        <f t="shared" ca="1" si="22"/>
        <v>0</v>
      </c>
      <c r="AH17" s="395">
        <f t="shared" ca="1" si="23"/>
        <v>0</v>
      </c>
      <c r="AI17" s="395">
        <f t="shared" ca="1" si="24"/>
        <v>0</v>
      </c>
      <c r="AJ17" s="395">
        <f t="shared" ca="1" si="25"/>
        <v>0</v>
      </c>
      <c r="AK17" s="395">
        <f t="shared" ca="1" si="26"/>
        <v>0</v>
      </c>
      <c r="AL17" s="395">
        <f t="shared" ca="1" si="27"/>
        <v>0</v>
      </c>
      <c r="AM17" s="395">
        <f t="shared" ca="1" si="28"/>
        <v>0</v>
      </c>
      <c r="AN17" s="395">
        <f t="shared" ca="1" si="29"/>
        <v>0</v>
      </c>
      <c r="AO17" s="395">
        <f t="shared" ca="1" si="30"/>
        <v>0</v>
      </c>
      <c r="AP17" s="395">
        <f t="shared" ca="1" si="31"/>
        <v>0</v>
      </c>
      <c r="AQ17" s="395">
        <f t="shared" ca="1" si="32"/>
        <v>0</v>
      </c>
      <c r="AR17" s="395">
        <f t="shared" ca="1" si="33"/>
        <v>0</v>
      </c>
      <c r="AS17" s="395">
        <f t="shared" ca="1" si="34"/>
        <v>0</v>
      </c>
      <c r="AT17" s="395">
        <f t="shared" ca="1" si="35"/>
        <v>0</v>
      </c>
      <c r="AU17" s="395">
        <f t="shared" ca="1" si="36"/>
        <v>0</v>
      </c>
      <c r="AV17" s="395">
        <f t="shared" ca="1" si="37"/>
        <v>0</v>
      </c>
      <c r="AW17" s="395">
        <f t="shared" ca="1" si="38"/>
        <v>0</v>
      </c>
    </row>
    <row r="18" spans="1:49" s="392" customFormat="1" ht="12" customHeight="1">
      <c r="A18" s="63">
        <f t="array" aca="1" ref="A18" ca="1">IF(C18&lt;&gt;0,SUM(($C$11:C18&lt;&gt;0)*1),"")</f>
        <v>8</v>
      </c>
      <c r="B18" s="393">
        <f ca="1">IF(ROWS($1:8)&gt;COUNT(Dong8),"",OFFSET(TH!C$1,SMALL(Dong8,ROWS($1:8)),))</f>
        <v>41851</v>
      </c>
      <c r="C18" s="393" t="str">
        <f ca="1">IF(ROWS($1:8)&gt;COUNT(Dong8),"",OFFSET(TH!D$1,SMALL(Dong8,ROWS($1:8)),))</f>
        <v>C02</v>
      </c>
      <c r="D18" s="393">
        <f ca="1">IF(ROWS($1:8)&gt;COUNT(Dong8),"",OFFSET(TH!E$1,SMALL(Dong8,ROWS($1:8)),))</f>
        <v>41851</v>
      </c>
      <c r="E18" s="443" t="str">
        <f ca="1">IF(ROWS($1:8)&gt;COUNT(Dong8),"",OFFSET(TH!F$1,SMALL(Dong8,ROWS($1:8)),))</f>
        <v>Hoàn trả tiền mượn chuyển khoản</v>
      </c>
      <c r="F18" s="444">
        <f ca="1">IF(ROWS($1:8)&gt;COUNT(Dong8),"",OFFSET(TH!I$1,SMALL(Dong8,ROWS($1:8)),))</f>
        <v>50000000</v>
      </c>
      <c r="G18" s="456" t="str">
        <f ca="1">IF(ROWS($1:8)&gt;COUNT(Dong8),"",OFFSET(TH!J$1,SMALL(Dong8,ROWS($1:8)),))</f>
        <v>3388</v>
      </c>
      <c r="H18" s="456" t="str">
        <f ca="1">IF(ROWS($1:8)&gt;COUNT(Dong8),"",OFFSET(TH!K$1,SMALL(Dong8,ROWS($1:8)),))</f>
        <v>1111</v>
      </c>
      <c r="I18" s="63">
        <f t="shared" ca="1" si="0"/>
        <v>8</v>
      </c>
      <c r="J18" s="395">
        <f t="shared" ca="1" si="1"/>
        <v>0</v>
      </c>
      <c r="K18" s="395">
        <f t="shared" ca="1" si="2"/>
        <v>50000000</v>
      </c>
      <c r="L18" s="395">
        <f t="shared" ca="1" si="3"/>
        <v>0</v>
      </c>
      <c r="M18" s="395">
        <f t="shared" ca="1" si="4"/>
        <v>0</v>
      </c>
      <c r="N18" s="395">
        <f t="shared" ca="1" si="5"/>
        <v>0</v>
      </c>
      <c r="O18" s="395">
        <f t="shared" ca="1" si="6"/>
        <v>0</v>
      </c>
      <c r="P18" s="395">
        <f t="shared" ca="1" si="7"/>
        <v>0</v>
      </c>
      <c r="Q18" s="395">
        <f t="shared" ca="1" si="8"/>
        <v>0</v>
      </c>
      <c r="R18" s="395">
        <f t="shared" ca="1" si="39"/>
        <v>0</v>
      </c>
      <c r="S18" s="395">
        <f t="shared" ca="1" si="40"/>
        <v>0</v>
      </c>
      <c r="T18" s="395">
        <f t="shared" ca="1" si="9"/>
        <v>0</v>
      </c>
      <c r="U18" s="395">
        <f t="shared" ca="1" si="10"/>
        <v>0</v>
      </c>
      <c r="V18" s="395">
        <f t="shared" ca="1" si="11"/>
        <v>0</v>
      </c>
      <c r="W18" s="395">
        <f t="shared" ca="1" si="12"/>
        <v>0</v>
      </c>
      <c r="X18" s="395">
        <f t="shared" ca="1" si="13"/>
        <v>0</v>
      </c>
      <c r="Y18" s="395">
        <f t="shared" ca="1" si="14"/>
        <v>0</v>
      </c>
      <c r="Z18" s="395">
        <f t="shared" ca="1" si="15"/>
        <v>50000000</v>
      </c>
      <c r="AA18" s="395">
        <f t="shared" ca="1" si="16"/>
        <v>0</v>
      </c>
      <c r="AB18" s="395">
        <f t="shared" ca="1" si="17"/>
        <v>0</v>
      </c>
      <c r="AC18" s="395">
        <f t="shared" ca="1" si="18"/>
        <v>0</v>
      </c>
      <c r="AD18" s="395">
        <f t="shared" ca="1" si="19"/>
        <v>0</v>
      </c>
      <c r="AE18" s="395">
        <f t="shared" ca="1" si="20"/>
        <v>0</v>
      </c>
      <c r="AF18" s="395">
        <f t="shared" ca="1" si="21"/>
        <v>0</v>
      </c>
      <c r="AG18" s="395">
        <f t="shared" ca="1" si="22"/>
        <v>0</v>
      </c>
      <c r="AH18" s="395">
        <f t="shared" ca="1" si="23"/>
        <v>0</v>
      </c>
      <c r="AI18" s="395">
        <f t="shared" ca="1" si="24"/>
        <v>0</v>
      </c>
      <c r="AJ18" s="395">
        <f t="shared" ca="1" si="25"/>
        <v>0</v>
      </c>
      <c r="AK18" s="395">
        <f t="shared" ca="1" si="26"/>
        <v>0</v>
      </c>
      <c r="AL18" s="395">
        <f t="shared" ca="1" si="27"/>
        <v>0</v>
      </c>
      <c r="AM18" s="395">
        <f t="shared" ca="1" si="28"/>
        <v>0</v>
      </c>
      <c r="AN18" s="395">
        <f t="shared" ca="1" si="29"/>
        <v>0</v>
      </c>
      <c r="AO18" s="395">
        <f t="shared" ca="1" si="30"/>
        <v>0</v>
      </c>
      <c r="AP18" s="395">
        <f t="shared" ca="1" si="31"/>
        <v>0</v>
      </c>
      <c r="AQ18" s="395">
        <f t="shared" ca="1" si="32"/>
        <v>0</v>
      </c>
      <c r="AR18" s="395">
        <f t="shared" ca="1" si="33"/>
        <v>0</v>
      </c>
      <c r="AS18" s="395">
        <f t="shared" ca="1" si="34"/>
        <v>0</v>
      </c>
      <c r="AT18" s="395">
        <f t="shared" ca="1" si="35"/>
        <v>0</v>
      </c>
      <c r="AU18" s="395">
        <f t="shared" ca="1" si="36"/>
        <v>0</v>
      </c>
      <c r="AV18" s="395">
        <f t="shared" ca="1" si="37"/>
        <v>0</v>
      </c>
      <c r="AW18" s="395">
        <f t="shared" ca="1" si="38"/>
        <v>0</v>
      </c>
    </row>
    <row r="19" spans="1:49" s="392" customFormat="1" ht="12" customHeight="1">
      <c r="A19" s="63">
        <f t="array" aca="1" ref="A19" ca="1">IF(C19&lt;&gt;0,SUM(($C$11:C19&lt;&gt;0)*1),"")</f>
        <v>9</v>
      </c>
      <c r="B19" s="393">
        <f ca="1">IF(ROWS($1:9)&gt;COUNT(Dong8),"",OFFSET(TH!C$1,SMALL(Dong8,ROWS($1:9)),))</f>
        <v>41851</v>
      </c>
      <c r="C19" s="393" t="str">
        <f ca="1">IF(ROWS($1:9)&gt;COUNT(Dong8),"",OFFSET(TH!D$1,SMALL(Dong8,ROWS($1:9)),))</f>
        <v>GBC</v>
      </c>
      <c r="D19" s="393">
        <f ca="1">IF(ROWS($1:9)&gt;COUNT(Dong8),"",OFFSET(TH!E$1,SMALL(Dong8,ROWS($1:9)),))</f>
        <v>41851</v>
      </c>
      <c r="E19" s="443" t="str">
        <f ca="1">IF(ROWS($1:9)&gt;COUNT(Dong8),"",OFFSET(TH!F$1,SMALL(Dong8,ROWS($1:9)),))</f>
        <v>An Lạc LA- Ứng vốn</v>
      </c>
      <c r="F19" s="444">
        <f ca="1">IF(ROWS($1:9)&gt;COUNT(Dong8),"",OFFSET(TH!I$1,SMALL(Dong8,ROWS($1:9)),))</f>
        <v>50000000</v>
      </c>
      <c r="G19" s="456" t="str">
        <f ca="1">IF(ROWS($1:9)&gt;COUNT(Dong8),"",OFFSET(TH!J$1,SMALL(Dong8,ROWS($1:9)),))</f>
        <v>1121</v>
      </c>
      <c r="H19" s="456" t="str">
        <f ca="1">IF(ROWS($1:9)&gt;COUNT(Dong8),"",OFFSET(TH!K$1,SMALL(Dong8,ROWS($1:9)),))</f>
        <v>3388</v>
      </c>
      <c r="I19" s="63">
        <f t="shared" ca="1" si="0"/>
        <v>9</v>
      </c>
      <c r="J19" s="395">
        <f t="shared" ca="1" si="1"/>
        <v>0</v>
      </c>
      <c r="K19" s="395">
        <f t="shared" ca="1" si="2"/>
        <v>0</v>
      </c>
      <c r="L19" s="395">
        <f t="shared" ca="1" si="3"/>
        <v>50000000</v>
      </c>
      <c r="M19" s="395">
        <f t="shared" ca="1" si="4"/>
        <v>0</v>
      </c>
      <c r="N19" s="395">
        <f t="shared" ca="1" si="5"/>
        <v>0</v>
      </c>
      <c r="O19" s="395">
        <f t="shared" ca="1" si="6"/>
        <v>0</v>
      </c>
      <c r="P19" s="395">
        <f t="shared" ca="1" si="7"/>
        <v>0</v>
      </c>
      <c r="Q19" s="395">
        <f t="shared" ca="1" si="8"/>
        <v>0</v>
      </c>
      <c r="R19" s="395">
        <f t="shared" ca="1" si="39"/>
        <v>0</v>
      </c>
      <c r="S19" s="395">
        <f t="shared" ca="1" si="40"/>
        <v>0</v>
      </c>
      <c r="T19" s="395">
        <f t="shared" ca="1" si="9"/>
        <v>0</v>
      </c>
      <c r="U19" s="395">
        <f t="shared" ca="1" si="10"/>
        <v>0</v>
      </c>
      <c r="V19" s="395">
        <f t="shared" ca="1" si="11"/>
        <v>0</v>
      </c>
      <c r="W19" s="395">
        <f t="shared" ca="1" si="12"/>
        <v>0</v>
      </c>
      <c r="X19" s="395">
        <f t="shared" ca="1" si="13"/>
        <v>0</v>
      </c>
      <c r="Y19" s="395">
        <f t="shared" ca="1" si="14"/>
        <v>0</v>
      </c>
      <c r="Z19" s="395">
        <f t="shared" ca="1" si="15"/>
        <v>0</v>
      </c>
      <c r="AA19" s="395">
        <f t="shared" ca="1" si="16"/>
        <v>50000000</v>
      </c>
      <c r="AB19" s="395">
        <f t="shared" ca="1" si="17"/>
        <v>0</v>
      </c>
      <c r="AC19" s="395">
        <f t="shared" ca="1" si="18"/>
        <v>0</v>
      </c>
      <c r="AD19" s="395">
        <f t="shared" ca="1" si="19"/>
        <v>0</v>
      </c>
      <c r="AE19" s="395">
        <f t="shared" ca="1" si="20"/>
        <v>0</v>
      </c>
      <c r="AF19" s="395">
        <f t="shared" ca="1" si="21"/>
        <v>0</v>
      </c>
      <c r="AG19" s="395">
        <f t="shared" ca="1" si="22"/>
        <v>0</v>
      </c>
      <c r="AH19" s="395">
        <f t="shared" ca="1" si="23"/>
        <v>0</v>
      </c>
      <c r="AI19" s="395">
        <f t="shared" ca="1" si="24"/>
        <v>0</v>
      </c>
      <c r="AJ19" s="395">
        <f t="shared" ca="1" si="25"/>
        <v>0</v>
      </c>
      <c r="AK19" s="395">
        <f t="shared" ca="1" si="26"/>
        <v>0</v>
      </c>
      <c r="AL19" s="395">
        <f t="shared" ca="1" si="27"/>
        <v>0</v>
      </c>
      <c r="AM19" s="395">
        <f t="shared" ca="1" si="28"/>
        <v>0</v>
      </c>
      <c r="AN19" s="395">
        <f t="shared" ca="1" si="29"/>
        <v>0</v>
      </c>
      <c r="AO19" s="395">
        <f t="shared" ca="1" si="30"/>
        <v>0</v>
      </c>
      <c r="AP19" s="395">
        <f t="shared" ca="1" si="31"/>
        <v>0</v>
      </c>
      <c r="AQ19" s="395">
        <f t="shared" ca="1" si="32"/>
        <v>0</v>
      </c>
      <c r="AR19" s="395">
        <f t="shared" ca="1" si="33"/>
        <v>0</v>
      </c>
      <c r="AS19" s="395">
        <f t="shared" ca="1" si="34"/>
        <v>0</v>
      </c>
      <c r="AT19" s="395">
        <f t="shared" ca="1" si="35"/>
        <v>0</v>
      </c>
      <c r="AU19" s="395">
        <f t="shared" ca="1" si="36"/>
        <v>0</v>
      </c>
      <c r="AV19" s="395">
        <f t="shared" ca="1" si="37"/>
        <v>0</v>
      </c>
      <c r="AW19" s="395">
        <f t="shared" ca="1" si="38"/>
        <v>0</v>
      </c>
    </row>
    <row r="20" spans="1:49" s="392" customFormat="1" ht="12" customHeight="1">
      <c r="A20" s="63">
        <f t="array" aca="1" ref="A20" ca="1">IF(C20&lt;&gt;0,SUM(($C$11:C20&lt;&gt;0)*1),"")</f>
        <v>10</v>
      </c>
      <c r="B20" s="393">
        <f ca="1">IF(ROWS($1:10)&gt;COUNT(Dong8),"",OFFSET(TH!C$1,SMALL(Dong8,ROWS($1:10)),))</f>
        <v>41851</v>
      </c>
      <c r="C20" s="393" t="str">
        <f ca="1">IF(ROWS($1:10)&gt;COUNT(Dong8),"",OFFSET(TH!D$1,SMALL(Dong8,ROWS($1:10)),))</f>
        <v>GBN</v>
      </c>
      <c r="D20" s="393">
        <f ca="1">IF(ROWS($1:10)&gt;COUNT(Dong8),"",OFFSET(TH!E$1,SMALL(Dong8,ROWS($1:10)),))</f>
        <v>41851</v>
      </c>
      <c r="E20" s="443" t="str">
        <f ca="1">IF(ROWS($1:10)&gt;COUNT(Dong8),"",OFFSET(TH!F$1,SMALL(Dong8,ROWS($1:10)),))</f>
        <v>Ứng tiền cọc betong Tân Tài</v>
      </c>
      <c r="F20" s="444">
        <f ca="1">IF(ROWS($1:10)&gt;COUNT(Dong8),"",OFFSET(TH!I$1,SMALL(Dong8,ROWS($1:10)),))</f>
        <v>50000000</v>
      </c>
      <c r="G20" s="456" t="str">
        <f ca="1">IF(ROWS($1:10)&gt;COUNT(Dong8),"",OFFSET(TH!J$1,SMALL(Dong8,ROWS($1:10)),))</f>
        <v>331</v>
      </c>
      <c r="H20" s="456" t="str">
        <f ca="1">IF(ROWS($1:10)&gt;COUNT(Dong8),"",OFFSET(TH!K$1,SMALL(Dong8,ROWS($1:10)),))</f>
        <v>1121</v>
      </c>
      <c r="I20" s="63">
        <f t="shared" ca="1" si="0"/>
        <v>10</v>
      </c>
      <c r="J20" s="395">
        <f t="shared" ca="1" si="1"/>
        <v>0</v>
      </c>
      <c r="K20" s="395">
        <f t="shared" ca="1" si="2"/>
        <v>0</v>
      </c>
      <c r="L20" s="395">
        <f t="shared" ca="1" si="3"/>
        <v>0</v>
      </c>
      <c r="M20" s="395">
        <f t="shared" ca="1" si="4"/>
        <v>50000000</v>
      </c>
      <c r="N20" s="395">
        <f t="shared" ca="1" si="5"/>
        <v>0</v>
      </c>
      <c r="O20" s="395">
        <f t="shared" ca="1" si="6"/>
        <v>0</v>
      </c>
      <c r="P20" s="395">
        <f t="shared" ca="1" si="7"/>
        <v>0</v>
      </c>
      <c r="Q20" s="395">
        <f t="shared" ca="1" si="8"/>
        <v>0</v>
      </c>
      <c r="R20" s="395">
        <f t="shared" ca="1" si="39"/>
        <v>0</v>
      </c>
      <c r="S20" s="395">
        <f t="shared" ca="1" si="40"/>
        <v>0</v>
      </c>
      <c r="T20" s="395">
        <f t="shared" ca="1" si="9"/>
        <v>50000000</v>
      </c>
      <c r="U20" s="395">
        <f t="shared" ca="1" si="10"/>
        <v>0</v>
      </c>
      <c r="V20" s="395">
        <f t="shared" ca="1" si="11"/>
        <v>0</v>
      </c>
      <c r="W20" s="395">
        <f t="shared" ca="1" si="12"/>
        <v>0</v>
      </c>
      <c r="X20" s="395">
        <f t="shared" ca="1" si="13"/>
        <v>0</v>
      </c>
      <c r="Y20" s="395">
        <f t="shared" ca="1" si="14"/>
        <v>0</v>
      </c>
      <c r="Z20" s="395">
        <f t="shared" ca="1" si="15"/>
        <v>0</v>
      </c>
      <c r="AA20" s="395">
        <f t="shared" ca="1" si="16"/>
        <v>0</v>
      </c>
      <c r="AB20" s="395">
        <f t="shared" ca="1" si="17"/>
        <v>0</v>
      </c>
      <c r="AC20" s="395">
        <f t="shared" ca="1" si="18"/>
        <v>0</v>
      </c>
      <c r="AD20" s="395">
        <f t="shared" ca="1" si="19"/>
        <v>0</v>
      </c>
      <c r="AE20" s="395">
        <f t="shared" ca="1" si="20"/>
        <v>0</v>
      </c>
      <c r="AF20" s="395">
        <f t="shared" ca="1" si="21"/>
        <v>0</v>
      </c>
      <c r="AG20" s="395">
        <f t="shared" ca="1" si="22"/>
        <v>0</v>
      </c>
      <c r="AH20" s="395">
        <f t="shared" ca="1" si="23"/>
        <v>0</v>
      </c>
      <c r="AI20" s="395">
        <f t="shared" ca="1" si="24"/>
        <v>0</v>
      </c>
      <c r="AJ20" s="395">
        <f t="shared" ca="1" si="25"/>
        <v>0</v>
      </c>
      <c r="AK20" s="395">
        <f t="shared" ca="1" si="26"/>
        <v>0</v>
      </c>
      <c r="AL20" s="395">
        <f t="shared" ca="1" si="27"/>
        <v>0</v>
      </c>
      <c r="AM20" s="395">
        <f t="shared" ca="1" si="28"/>
        <v>0</v>
      </c>
      <c r="AN20" s="395">
        <f t="shared" ca="1" si="29"/>
        <v>0</v>
      </c>
      <c r="AO20" s="395">
        <f t="shared" ca="1" si="30"/>
        <v>0</v>
      </c>
      <c r="AP20" s="395">
        <f t="shared" ca="1" si="31"/>
        <v>0</v>
      </c>
      <c r="AQ20" s="395">
        <f t="shared" ca="1" si="32"/>
        <v>0</v>
      </c>
      <c r="AR20" s="395">
        <f t="shared" ca="1" si="33"/>
        <v>0</v>
      </c>
      <c r="AS20" s="395">
        <f t="shared" ca="1" si="34"/>
        <v>0</v>
      </c>
      <c r="AT20" s="395">
        <f t="shared" ca="1" si="35"/>
        <v>0</v>
      </c>
      <c r="AU20" s="395">
        <f t="shared" ca="1" si="36"/>
        <v>0</v>
      </c>
      <c r="AV20" s="395">
        <f t="shared" ca="1" si="37"/>
        <v>0</v>
      </c>
      <c r="AW20" s="395">
        <f t="shared" ca="1" si="38"/>
        <v>0</v>
      </c>
    </row>
    <row r="21" spans="1:49" s="392" customFormat="1" ht="12" customHeight="1">
      <c r="A21" s="63">
        <f t="array" aca="1" ref="A21" ca="1">IF(C21&lt;&gt;0,SUM(($C$11:C21&lt;&gt;0)*1),"")</f>
        <v>11</v>
      </c>
      <c r="B21" s="393">
        <f ca="1">IF(ROWS($1:11)&gt;COUNT(Dong8),"",OFFSET(TH!C$1,SMALL(Dong8,ROWS($1:11)),))</f>
        <v>41851</v>
      </c>
      <c r="C21" s="393" t="str">
        <f ca="1">IF(ROWS($1:11)&gt;COUNT(Dong8),"",OFFSET(TH!D$1,SMALL(Dong8,ROWS($1:11)),))</f>
        <v>GBN</v>
      </c>
      <c r="D21" s="393">
        <f ca="1">IF(ROWS($1:11)&gt;COUNT(Dong8),"",OFFSET(TH!E$1,SMALL(Dong8,ROWS($1:11)),))</f>
        <v>41851</v>
      </c>
      <c r="E21" s="443" t="str">
        <f ca="1">IF(ROWS($1:11)&gt;COUNT(Dong8),"",OFFSET(TH!F$1,SMALL(Dong8,ROWS($1:11)),))</f>
        <v xml:space="preserve">Phí chuyển tiền </v>
      </c>
      <c r="F21" s="444">
        <f ca="1">IF(ROWS($1:11)&gt;COUNT(Dong8),"",OFFSET(TH!I$1,SMALL(Dong8,ROWS($1:11)),))</f>
        <v>25000</v>
      </c>
      <c r="G21" s="456" t="str">
        <f ca="1">IF(ROWS($1:11)&gt;COUNT(Dong8),"",OFFSET(TH!J$1,SMALL(Dong8,ROWS($1:11)),))</f>
        <v>642</v>
      </c>
      <c r="H21" s="456" t="str">
        <f ca="1">IF(ROWS($1:11)&gt;COUNT(Dong8),"",OFFSET(TH!K$1,SMALL(Dong8,ROWS($1:11)),))</f>
        <v>1121</v>
      </c>
      <c r="I21" s="63">
        <f t="shared" ca="1" si="0"/>
        <v>11</v>
      </c>
      <c r="J21" s="395">
        <f t="shared" ca="1" si="1"/>
        <v>0</v>
      </c>
      <c r="K21" s="395">
        <f t="shared" ca="1" si="2"/>
        <v>0</v>
      </c>
      <c r="L21" s="395">
        <f t="shared" ca="1" si="3"/>
        <v>0</v>
      </c>
      <c r="M21" s="395">
        <f t="shared" ca="1" si="4"/>
        <v>25000</v>
      </c>
      <c r="N21" s="395">
        <f t="shared" ca="1" si="5"/>
        <v>0</v>
      </c>
      <c r="O21" s="395">
        <f t="shared" ca="1" si="6"/>
        <v>0</v>
      </c>
      <c r="P21" s="395">
        <f t="shared" ca="1" si="7"/>
        <v>0</v>
      </c>
      <c r="Q21" s="395">
        <f t="shared" ca="1" si="8"/>
        <v>0</v>
      </c>
      <c r="R21" s="395">
        <f t="shared" ca="1" si="39"/>
        <v>0</v>
      </c>
      <c r="S21" s="395">
        <f t="shared" ca="1" si="40"/>
        <v>0</v>
      </c>
      <c r="T21" s="395">
        <f t="shared" ca="1" si="9"/>
        <v>0</v>
      </c>
      <c r="U21" s="395">
        <f t="shared" ca="1" si="10"/>
        <v>0</v>
      </c>
      <c r="V21" s="395">
        <f t="shared" ca="1" si="11"/>
        <v>0</v>
      </c>
      <c r="W21" s="395">
        <f t="shared" ca="1" si="12"/>
        <v>0</v>
      </c>
      <c r="X21" s="395">
        <f t="shared" ca="1" si="13"/>
        <v>0</v>
      </c>
      <c r="Y21" s="395">
        <f t="shared" ca="1" si="14"/>
        <v>0</v>
      </c>
      <c r="Z21" s="395">
        <f t="shared" ca="1" si="15"/>
        <v>0</v>
      </c>
      <c r="AA21" s="395">
        <f t="shared" ca="1" si="16"/>
        <v>0</v>
      </c>
      <c r="AB21" s="395">
        <f t="shared" ca="1" si="17"/>
        <v>0</v>
      </c>
      <c r="AC21" s="395">
        <f t="shared" ca="1" si="18"/>
        <v>0</v>
      </c>
      <c r="AD21" s="395">
        <f t="shared" ca="1" si="19"/>
        <v>0</v>
      </c>
      <c r="AE21" s="395">
        <f t="shared" ca="1" si="20"/>
        <v>0</v>
      </c>
      <c r="AF21" s="395">
        <f t="shared" ca="1" si="21"/>
        <v>0</v>
      </c>
      <c r="AG21" s="395">
        <f t="shared" ca="1" si="22"/>
        <v>0</v>
      </c>
      <c r="AH21" s="395">
        <f t="shared" ca="1" si="23"/>
        <v>0</v>
      </c>
      <c r="AI21" s="395">
        <f t="shared" ca="1" si="24"/>
        <v>0</v>
      </c>
      <c r="AJ21" s="395">
        <f t="shared" ca="1" si="25"/>
        <v>0</v>
      </c>
      <c r="AK21" s="395">
        <f t="shared" ca="1" si="26"/>
        <v>0</v>
      </c>
      <c r="AL21" s="395">
        <f t="shared" ca="1" si="27"/>
        <v>0</v>
      </c>
      <c r="AM21" s="395">
        <f t="shared" ca="1" si="28"/>
        <v>0</v>
      </c>
      <c r="AN21" s="395">
        <f t="shared" ca="1" si="29"/>
        <v>25000</v>
      </c>
      <c r="AO21" s="395">
        <f t="shared" ca="1" si="30"/>
        <v>0</v>
      </c>
      <c r="AP21" s="395">
        <f t="shared" ca="1" si="31"/>
        <v>0</v>
      </c>
      <c r="AQ21" s="395">
        <f t="shared" ca="1" si="32"/>
        <v>0</v>
      </c>
      <c r="AR21" s="395">
        <f t="shared" ca="1" si="33"/>
        <v>0</v>
      </c>
      <c r="AS21" s="395">
        <f t="shared" ca="1" si="34"/>
        <v>0</v>
      </c>
      <c r="AT21" s="395">
        <f t="shared" ca="1" si="35"/>
        <v>0</v>
      </c>
      <c r="AU21" s="395">
        <f t="shared" ca="1" si="36"/>
        <v>0</v>
      </c>
      <c r="AV21" s="395">
        <f t="shared" ca="1" si="37"/>
        <v>0</v>
      </c>
      <c r="AW21" s="395">
        <f t="shared" ca="1" si="38"/>
        <v>0</v>
      </c>
    </row>
    <row r="22" spans="1:49" s="392" customFormat="1" ht="12" customHeight="1">
      <c r="A22" s="63">
        <f t="array" aca="1" ref="A22" ca="1">IF(C22&lt;&gt;0,SUM(($C$11:C22&lt;&gt;0)*1),"")</f>
        <v>12</v>
      </c>
      <c r="B22" s="393">
        <f ca="1">IF(ROWS($1:12)&gt;COUNT(Dong8),"",OFFSET(TH!C$1,SMALL(Dong8,ROWS($1:12)),))</f>
        <v>41851</v>
      </c>
      <c r="C22" s="393" t="str">
        <f ca="1">IF(ROWS($1:12)&gt;COUNT(Dong8),"",OFFSET(TH!D$1,SMALL(Dong8,ROWS($1:12)),))</f>
        <v>GBN</v>
      </c>
      <c r="D22" s="393">
        <f ca="1">IF(ROWS($1:12)&gt;COUNT(Dong8),"",OFFSET(TH!E$1,SMALL(Dong8,ROWS($1:12)),))</f>
        <v>41851</v>
      </c>
      <c r="E22" s="443" t="str">
        <f ca="1">IF(ROWS($1:12)&gt;COUNT(Dong8),"",OFFSET(TH!F$1,SMALL(Dong8,ROWS($1:12)),))</f>
        <v xml:space="preserve">VAT Phí chuyển tiền </v>
      </c>
      <c r="F22" s="444">
        <f ca="1">IF(ROWS($1:12)&gt;COUNT(Dong8),"",OFFSET(TH!I$1,SMALL(Dong8,ROWS($1:12)),))</f>
        <v>2500</v>
      </c>
      <c r="G22" s="456" t="str">
        <f ca="1">IF(ROWS($1:12)&gt;COUNT(Dong8),"",OFFSET(TH!J$1,SMALL(Dong8,ROWS($1:12)),))</f>
        <v>1331</v>
      </c>
      <c r="H22" s="456" t="str">
        <f ca="1">IF(ROWS($1:12)&gt;COUNT(Dong8),"",OFFSET(TH!K$1,SMALL(Dong8,ROWS($1:12)),))</f>
        <v>1121</v>
      </c>
      <c r="I22" s="63">
        <f t="shared" ca="1" si="0"/>
        <v>12</v>
      </c>
      <c r="J22" s="395">
        <f t="shared" ca="1" si="1"/>
        <v>0</v>
      </c>
      <c r="K22" s="395">
        <f t="shared" ca="1" si="2"/>
        <v>0</v>
      </c>
      <c r="L22" s="395">
        <f t="shared" ca="1" si="3"/>
        <v>0</v>
      </c>
      <c r="M22" s="395">
        <f t="shared" ca="1" si="4"/>
        <v>2500</v>
      </c>
      <c r="N22" s="395">
        <f t="shared" ca="1" si="5"/>
        <v>2500</v>
      </c>
      <c r="O22" s="395">
        <f t="shared" ca="1" si="6"/>
        <v>0</v>
      </c>
      <c r="P22" s="395">
        <f t="shared" ca="1" si="7"/>
        <v>0</v>
      </c>
      <c r="Q22" s="395">
        <f t="shared" ca="1" si="8"/>
        <v>0</v>
      </c>
      <c r="R22" s="395">
        <f t="shared" ca="1" si="39"/>
        <v>0</v>
      </c>
      <c r="S22" s="395">
        <f t="shared" ca="1" si="40"/>
        <v>0</v>
      </c>
      <c r="T22" s="395">
        <f t="shared" ca="1" si="9"/>
        <v>0</v>
      </c>
      <c r="U22" s="395">
        <f t="shared" ca="1" si="10"/>
        <v>0</v>
      </c>
      <c r="V22" s="395">
        <f t="shared" ca="1" si="11"/>
        <v>0</v>
      </c>
      <c r="W22" s="395">
        <f t="shared" ca="1" si="12"/>
        <v>0</v>
      </c>
      <c r="X22" s="395">
        <f t="shared" ca="1" si="13"/>
        <v>0</v>
      </c>
      <c r="Y22" s="395">
        <f t="shared" ca="1" si="14"/>
        <v>0</v>
      </c>
      <c r="Z22" s="395">
        <f t="shared" ca="1" si="15"/>
        <v>0</v>
      </c>
      <c r="AA22" s="395">
        <f t="shared" ca="1" si="16"/>
        <v>0</v>
      </c>
      <c r="AB22" s="395">
        <f t="shared" ca="1" si="17"/>
        <v>0</v>
      </c>
      <c r="AC22" s="395">
        <f t="shared" ca="1" si="18"/>
        <v>0</v>
      </c>
      <c r="AD22" s="395">
        <f t="shared" ca="1" si="19"/>
        <v>0</v>
      </c>
      <c r="AE22" s="395">
        <f t="shared" ca="1" si="20"/>
        <v>0</v>
      </c>
      <c r="AF22" s="395">
        <f t="shared" ca="1" si="21"/>
        <v>0</v>
      </c>
      <c r="AG22" s="395">
        <f t="shared" ca="1" si="22"/>
        <v>0</v>
      </c>
      <c r="AH22" s="395">
        <f t="shared" ca="1" si="23"/>
        <v>0</v>
      </c>
      <c r="AI22" s="395">
        <f t="shared" ca="1" si="24"/>
        <v>0</v>
      </c>
      <c r="AJ22" s="395">
        <f t="shared" ca="1" si="25"/>
        <v>0</v>
      </c>
      <c r="AK22" s="395">
        <f t="shared" ca="1" si="26"/>
        <v>0</v>
      </c>
      <c r="AL22" s="395">
        <f t="shared" ca="1" si="27"/>
        <v>0</v>
      </c>
      <c r="AM22" s="395">
        <f t="shared" ca="1" si="28"/>
        <v>0</v>
      </c>
      <c r="AN22" s="395">
        <f t="shared" ca="1" si="29"/>
        <v>0</v>
      </c>
      <c r="AO22" s="395">
        <f t="shared" ca="1" si="30"/>
        <v>0</v>
      </c>
      <c r="AP22" s="395">
        <f t="shared" ca="1" si="31"/>
        <v>0</v>
      </c>
      <c r="AQ22" s="395">
        <f t="shared" ca="1" si="32"/>
        <v>0</v>
      </c>
      <c r="AR22" s="395">
        <f t="shared" ca="1" si="33"/>
        <v>0</v>
      </c>
      <c r="AS22" s="395">
        <f t="shared" ca="1" si="34"/>
        <v>0</v>
      </c>
      <c r="AT22" s="395">
        <f t="shared" ca="1" si="35"/>
        <v>0</v>
      </c>
      <c r="AU22" s="395">
        <f t="shared" ca="1" si="36"/>
        <v>0</v>
      </c>
      <c r="AV22" s="395">
        <f t="shared" ca="1" si="37"/>
        <v>0</v>
      </c>
      <c r="AW22" s="395">
        <f t="shared" ca="1" si="38"/>
        <v>0</v>
      </c>
    </row>
    <row r="23" spans="1:49" s="392" customFormat="1" ht="12" customHeight="1">
      <c r="A23" s="63">
        <f t="array" aca="1" ref="A23" ca="1">IF(C23&lt;&gt;0,SUM(($C$11:C23&lt;&gt;0)*1),"")</f>
        <v>13</v>
      </c>
      <c r="B23" s="393">
        <f ca="1">IF(ROWS($1:13)&gt;COUNT(Dong8),"",OFFSET(TH!C$1,SMALL(Dong8,ROWS($1:13)),))</f>
        <v>41857</v>
      </c>
      <c r="C23" s="393" t="str">
        <f ca="1">IF(ROWS($1:13)&gt;COUNT(Dong8),"",OFFSET(TH!D$1,SMALL(Dong8,ROWS($1:13)),))</f>
        <v>C03</v>
      </c>
      <c r="D23" s="393">
        <f ca="1">IF(ROWS($1:13)&gt;COUNT(Dong8),"",OFFSET(TH!E$1,SMALL(Dong8,ROWS($1:13)),))</f>
        <v>41857</v>
      </c>
      <c r="E23" s="443" t="str">
        <f ca="1">IF(ROWS($1:13)&gt;COUNT(Dong8),"",OFFSET(TH!F$1,SMALL(Dong8,ROWS($1:13)),))</f>
        <v>Hoàn trả tiền mượn chuyển khoản</v>
      </c>
      <c r="F23" s="444">
        <f ca="1">IF(ROWS($1:13)&gt;COUNT(Dong8),"",OFFSET(TH!I$1,SMALL(Dong8,ROWS($1:13)),))</f>
        <v>50000000</v>
      </c>
      <c r="G23" s="456" t="str">
        <f ca="1">IF(ROWS($1:13)&gt;COUNT(Dong8),"",OFFSET(TH!J$1,SMALL(Dong8,ROWS($1:13)),))</f>
        <v>3388</v>
      </c>
      <c r="H23" s="456" t="str">
        <f ca="1">IF(ROWS($1:13)&gt;COUNT(Dong8),"",OFFSET(TH!K$1,SMALL(Dong8,ROWS($1:13)),))</f>
        <v>1111</v>
      </c>
      <c r="I23" s="63">
        <f t="shared" ca="1" si="0"/>
        <v>13</v>
      </c>
      <c r="J23" s="395">
        <f t="shared" ca="1" si="1"/>
        <v>0</v>
      </c>
      <c r="K23" s="395">
        <f t="shared" ca="1" si="2"/>
        <v>50000000</v>
      </c>
      <c r="L23" s="395">
        <f t="shared" ca="1" si="3"/>
        <v>0</v>
      </c>
      <c r="M23" s="395">
        <f t="shared" ca="1" si="4"/>
        <v>0</v>
      </c>
      <c r="N23" s="395">
        <f t="shared" ca="1" si="5"/>
        <v>0</v>
      </c>
      <c r="O23" s="395">
        <f t="shared" ca="1" si="6"/>
        <v>0</v>
      </c>
      <c r="P23" s="395">
        <f t="shared" ca="1" si="7"/>
        <v>0</v>
      </c>
      <c r="Q23" s="395">
        <f t="shared" ca="1" si="8"/>
        <v>0</v>
      </c>
      <c r="R23" s="395">
        <f t="shared" ca="1" si="39"/>
        <v>0</v>
      </c>
      <c r="S23" s="395">
        <f t="shared" ca="1" si="40"/>
        <v>0</v>
      </c>
      <c r="T23" s="395">
        <f t="shared" ca="1" si="9"/>
        <v>0</v>
      </c>
      <c r="U23" s="395">
        <f t="shared" ca="1" si="10"/>
        <v>0</v>
      </c>
      <c r="V23" s="395">
        <f t="shared" ca="1" si="11"/>
        <v>0</v>
      </c>
      <c r="W23" s="395">
        <f t="shared" ca="1" si="12"/>
        <v>0</v>
      </c>
      <c r="X23" s="395">
        <f t="shared" ca="1" si="13"/>
        <v>0</v>
      </c>
      <c r="Y23" s="395">
        <f t="shared" ca="1" si="14"/>
        <v>0</v>
      </c>
      <c r="Z23" s="395">
        <f t="shared" ca="1" si="15"/>
        <v>50000000</v>
      </c>
      <c r="AA23" s="395">
        <f t="shared" ca="1" si="16"/>
        <v>0</v>
      </c>
      <c r="AB23" s="395">
        <f t="shared" ca="1" si="17"/>
        <v>0</v>
      </c>
      <c r="AC23" s="395">
        <f t="shared" ca="1" si="18"/>
        <v>0</v>
      </c>
      <c r="AD23" s="395">
        <f t="shared" ca="1" si="19"/>
        <v>0</v>
      </c>
      <c r="AE23" s="395">
        <f t="shared" ca="1" si="20"/>
        <v>0</v>
      </c>
      <c r="AF23" s="395">
        <f t="shared" ca="1" si="21"/>
        <v>0</v>
      </c>
      <c r="AG23" s="395">
        <f t="shared" ca="1" si="22"/>
        <v>0</v>
      </c>
      <c r="AH23" s="395">
        <f t="shared" ca="1" si="23"/>
        <v>0</v>
      </c>
      <c r="AI23" s="395">
        <f t="shared" ca="1" si="24"/>
        <v>0</v>
      </c>
      <c r="AJ23" s="395">
        <f t="shared" ca="1" si="25"/>
        <v>0</v>
      </c>
      <c r="AK23" s="395">
        <f t="shared" ca="1" si="26"/>
        <v>0</v>
      </c>
      <c r="AL23" s="395">
        <f t="shared" ca="1" si="27"/>
        <v>0</v>
      </c>
      <c r="AM23" s="395">
        <f t="shared" ca="1" si="28"/>
        <v>0</v>
      </c>
      <c r="AN23" s="395">
        <f t="shared" ca="1" si="29"/>
        <v>0</v>
      </c>
      <c r="AO23" s="395">
        <f t="shared" ca="1" si="30"/>
        <v>0</v>
      </c>
      <c r="AP23" s="395">
        <f t="shared" ca="1" si="31"/>
        <v>0</v>
      </c>
      <c r="AQ23" s="395">
        <f t="shared" ca="1" si="32"/>
        <v>0</v>
      </c>
      <c r="AR23" s="395">
        <f t="shared" ca="1" si="33"/>
        <v>0</v>
      </c>
      <c r="AS23" s="395">
        <f t="shared" ca="1" si="34"/>
        <v>0</v>
      </c>
      <c r="AT23" s="395">
        <f t="shared" ca="1" si="35"/>
        <v>0</v>
      </c>
      <c r="AU23" s="395">
        <f t="shared" ca="1" si="36"/>
        <v>0</v>
      </c>
      <c r="AV23" s="395">
        <f t="shared" ca="1" si="37"/>
        <v>0</v>
      </c>
      <c r="AW23" s="395">
        <f t="shared" ca="1" si="38"/>
        <v>0</v>
      </c>
    </row>
    <row r="24" spans="1:49" s="392" customFormat="1" ht="12" customHeight="1">
      <c r="A24" s="63">
        <f t="array" aca="1" ref="A24" ca="1">IF(C24&lt;&gt;0,SUM(($C$11:C24&lt;&gt;0)*1),"")</f>
        <v>14</v>
      </c>
      <c r="B24" s="393">
        <f ca="1">IF(ROWS($1:14)&gt;COUNT(Dong8),"",OFFSET(TH!C$1,SMALL(Dong8,ROWS($1:14)),))</f>
        <v>41857</v>
      </c>
      <c r="C24" s="393" t="str">
        <f ca="1">IF(ROWS($1:14)&gt;COUNT(Dong8),"",OFFSET(TH!D$1,SMALL(Dong8,ROWS($1:14)),))</f>
        <v>GBC</v>
      </c>
      <c r="D24" s="393">
        <f ca="1">IF(ROWS($1:14)&gt;COUNT(Dong8),"",OFFSET(TH!E$1,SMALL(Dong8,ROWS($1:14)),))</f>
        <v>41857</v>
      </c>
      <c r="E24" s="443" t="str">
        <f ca="1">IF(ROWS($1:14)&gt;COUNT(Dong8),"",OFFSET(TH!F$1,SMALL(Dong8,ROWS($1:14)),))</f>
        <v>An Lạc LA- Ứng vốn</v>
      </c>
      <c r="F24" s="444">
        <f ca="1">IF(ROWS($1:14)&gt;COUNT(Dong8),"",OFFSET(TH!I$1,SMALL(Dong8,ROWS($1:14)),))</f>
        <v>50000000</v>
      </c>
      <c r="G24" s="456" t="str">
        <f ca="1">IF(ROWS($1:14)&gt;COUNT(Dong8),"",OFFSET(TH!J$1,SMALL(Dong8,ROWS($1:14)),))</f>
        <v>1121</v>
      </c>
      <c r="H24" s="456" t="str">
        <f ca="1">IF(ROWS($1:14)&gt;COUNT(Dong8),"",OFFSET(TH!K$1,SMALL(Dong8,ROWS($1:14)),))</f>
        <v>3388</v>
      </c>
      <c r="I24" s="63">
        <f t="shared" ca="1" si="0"/>
        <v>14</v>
      </c>
      <c r="J24" s="395">
        <f t="shared" ca="1" si="1"/>
        <v>0</v>
      </c>
      <c r="K24" s="395">
        <f t="shared" ca="1" si="2"/>
        <v>0</v>
      </c>
      <c r="L24" s="395">
        <f t="shared" ca="1" si="3"/>
        <v>50000000</v>
      </c>
      <c r="M24" s="395">
        <f t="shared" ca="1" si="4"/>
        <v>0</v>
      </c>
      <c r="N24" s="395">
        <f t="shared" ca="1" si="5"/>
        <v>0</v>
      </c>
      <c r="O24" s="395">
        <f t="shared" ca="1" si="6"/>
        <v>0</v>
      </c>
      <c r="P24" s="395">
        <f t="shared" ca="1" si="7"/>
        <v>0</v>
      </c>
      <c r="Q24" s="395">
        <f t="shared" ca="1" si="8"/>
        <v>0</v>
      </c>
      <c r="R24" s="395">
        <f t="shared" ca="1" si="39"/>
        <v>0</v>
      </c>
      <c r="S24" s="395">
        <f t="shared" ca="1" si="40"/>
        <v>0</v>
      </c>
      <c r="T24" s="395">
        <f t="shared" ca="1" si="9"/>
        <v>0</v>
      </c>
      <c r="U24" s="395">
        <f t="shared" ca="1" si="10"/>
        <v>0</v>
      </c>
      <c r="V24" s="395">
        <f t="shared" ca="1" si="11"/>
        <v>0</v>
      </c>
      <c r="W24" s="395">
        <f t="shared" ca="1" si="12"/>
        <v>0</v>
      </c>
      <c r="X24" s="395">
        <f t="shared" ca="1" si="13"/>
        <v>0</v>
      </c>
      <c r="Y24" s="395">
        <f t="shared" ca="1" si="14"/>
        <v>0</v>
      </c>
      <c r="Z24" s="395">
        <f t="shared" ca="1" si="15"/>
        <v>0</v>
      </c>
      <c r="AA24" s="395">
        <f t="shared" ca="1" si="16"/>
        <v>50000000</v>
      </c>
      <c r="AB24" s="395">
        <f t="shared" ca="1" si="17"/>
        <v>0</v>
      </c>
      <c r="AC24" s="395">
        <f t="shared" ca="1" si="18"/>
        <v>0</v>
      </c>
      <c r="AD24" s="395">
        <f t="shared" ca="1" si="19"/>
        <v>0</v>
      </c>
      <c r="AE24" s="395">
        <f t="shared" ca="1" si="20"/>
        <v>0</v>
      </c>
      <c r="AF24" s="395">
        <f t="shared" ca="1" si="21"/>
        <v>0</v>
      </c>
      <c r="AG24" s="395">
        <f t="shared" ca="1" si="22"/>
        <v>0</v>
      </c>
      <c r="AH24" s="395">
        <f t="shared" ca="1" si="23"/>
        <v>0</v>
      </c>
      <c r="AI24" s="395">
        <f t="shared" ca="1" si="24"/>
        <v>0</v>
      </c>
      <c r="AJ24" s="395">
        <f t="shared" ca="1" si="25"/>
        <v>0</v>
      </c>
      <c r="AK24" s="395">
        <f t="shared" ca="1" si="26"/>
        <v>0</v>
      </c>
      <c r="AL24" s="395">
        <f t="shared" ca="1" si="27"/>
        <v>0</v>
      </c>
      <c r="AM24" s="395">
        <f t="shared" ca="1" si="28"/>
        <v>0</v>
      </c>
      <c r="AN24" s="395">
        <f t="shared" ca="1" si="29"/>
        <v>0</v>
      </c>
      <c r="AO24" s="395">
        <f t="shared" ca="1" si="30"/>
        <v>0</v>
      </c>
      <c r="AP24" s="395">
        <f t="shared" ca="1" si="31"/>
        <v>0</v>
      </c>
      <c r="AQ24" s="395">
        <f t="shared" ca="1" si="32"/>
        <v>0</v>
      </c>
      <c r="AR24" s="395">
        <f t="shared" ca="1" si="33"/>
        <v>0</v>
      </c>
      <c r="AS24" s="395">
        <f t="shared" ca="1" si="34"/>
        <v>0</v>
      </c>
      <c r="AT24" s="395">
        <f t="shared" ca="1" si="35"/>
        <v>0</v>
      </c>
      <c r="AU24" s="395">
        <f t="shared" ca="1" si="36"/>
        <v>0</v>
      </c>
      <c r="AV24" s="395">
        <f t="shared" ca="1" si="37"/>
        <v>0</v>
      </c>
      <c r="AW24" s="395">
        <f t="shared" ca="1" si="38"/>
        <v>0</v>
      </c>
    </row>
    <row r="25" spans="1:49" s="392" customFormat="1" ht="12" customHeight="1">
      <c r="A25" s="63">
        <f t="array" aca="1" ref="A25" ca="1">IF(C25&lt;&gt;0,SUM(($C$11:C25&lt;&gt;0)*1),"")</f>
        <v>15</v>
      </c>
      <c r="B25" s="393">
        <f ca="1">IF(ROWS($1:15)&gt;COUNT(Dong8),"",OFFSET(TH!C$1,SMALL(Dong8,ROWS($1:15)),))</f>
        <v>41857</v>
      </c>
      <c r="C25" s="393" t="str">
        <f ca="1">IF(ROWS($1:15)&gt;COUNT(Dong8),"",OFFSET(TH!D$1,SMALL(Dong8,ROWS($1:15)),))</f>
        <v>GBN</v>
      </c>
      <c r="D25" s="393">
        <f ca="1">IF(ROWS($1:15)&gt;COUNT(Dong8),"",OFFSET(TH!E$1,SMALL(Dong8,ROWS($1:15)),))</f>
        <v>41857</v>
      </c>
      <c r="E25" s="443" t="str">
        <f ca="1">IF(ROWS($1:15)&gt;COUNT(Dong8),"",OFFSET(TH!F$1,SMALL(Dong8,ROWS($1:15)),))</f>
        <v>Ứng tiền cọc betong Tân Tài</v>
      </c>
      <c r="F25" s="444">
        <f ca="1">IF(ROWS($1:15)&gt;COUNT(Dong8),"",OFFSET(TH!I$1,SMALL(Dong8,ROWS($1:15)),))</f>
        <v>50000000</v>
      </c>
      <c r="G25" s="456" t="str">
        <f ca="1">IF(ROWS($1:15)&gt;COUNT(Dong8),"",OFFSET(TH!J$1,SMALL(Dong8,ROWS($1:15)),))</f>
        <v>331</v>
      </c>
      <c r="H25" s="456" t="str">
        <f ca="1">IF(ROWS($1:15)&gt;COUNT(Dong8),"",OFFSET(TH!K$1,SMALL(Dong8,ROWS($1:15)),))</f>
        <v>1121</v>
      </c>
      <c r="I25" s="63">
        <f t="shared" ca="1" si="0"/>
        <v>15</v>
      </c>
      <c r="J25" s="395">
        <f t="shared" ca="1" si="1"/>
        <v>0</v>
      </c>
      <c r="K25" s="395">
        <f t="shared" ca="1" si="2"/>
        <v>0</v>
      </c>
      <c r="L25" s="395">
        <f t="shared" ca="1" si="3"/>
        <v>0</v>
      </c>
      <c r="M25" s="395">
        <f t="shared" ca="1" si="4"/>
        <v>50000000</v>
      </c>
      <c r="N25" s="395">
        <f t="shared" ca="1" si="5"/>
        <v>0</v>
      </c>
      <c r="O25" s="395">
        <f t="shared" ca="1" si="6"/>
        <v>0</v>
      </c>
      <c r="P25" s="395">
        <f t="shared" ca="1" si="7"/>
        <v>0</v>
      </c>
      <c r="Q25" s="395">
        <f t="shared" ca="1" si="8"/>
        <v>0</v>
      </c>
      <c r="R25" s="395">
        <f t="shared" ca="1" si="39"/>
        <v>0</v>
      </c>
      <c r="S25" s="395">
        <f t="shared" ca="1" si="40"/>
        <v>0</v>
      </c>
      <c r="T25" s="395">
        <f t="shared" ca="1" si="9"/>
        <v>50000000</v>
      </c>
      <c r="U25" s="395">
        <f t="shared" ca="1" si="10"/>
        <v>0</v>
      </c>
      <c r="V25" s="395">
        <f t="shared" ca="1" si="11"/>
        <v>0</v>
      </c>
      <c r="W25" s="395">
        <f t="shared" ca="1" si="12"/>
        <v>0</v>
      </c>
      <c r="X25" s="395">
        <f t="shared" ca="1" si="13"/>
        <v>0</v>
      </c>
      <c r="Y25" s="395">
        <f t="shared" ca="1" si="14"/>
        <v>0</v>
      </c>
      <c r="Z25" s="395">
        <f t="shared" ca="1" si="15"/>
        <v>0</v>
      </c>
      <c r="AA25" s="395">
        <f t="shared" ca="1" si="16"/>
        <v>0</v>
      </c>
      <c r="AB25" s="395">
        <f t="shared" ca="1" si="17"/>
        <v>0</v>
      </c>
      <c r="AC25" s="395">
        <f t="shared" ca="1" si="18"/>
        <v>0</v>
      </c>
      <c r="AD25" s="395">
        <f t="shared" ca="1" si="19"/>
        <v>0</v>
      </c>
      <c r="AE25" s="395">
        <f t="shared" ca="1" si="20"/>
        <v>0</v>
      </c>
      <c r="AF25" s="395">
        <f t="shared" ca="1" si="21"/>
        <v>0</v>
      </c>
      <c r="AG25" s="395">
        <f t="shared" ca="1" si="22"/>
        <v>0</v>
      </c>
      <c r="AH25" s="395">
        <f t="shared" ca="1" si="23"/>
        <v>0</v>
      </c>
      <c r="AI25" s="395">
        <f t="shared" ca="1" si="24"/>
        <v>0</v>
      </c>
      <c r="AJ25" s="395">
        <f t="shared" ca="1" si="25"/>
        <v>0</v>
      </c>
      <c r="AK25" s="395">
        <f t="shared" ca="1" si="26"/>
        <v>0</v>
      </c>
      <c r="AL25" s="395">
        <f t="shared" ca="1" si="27"/>
        <v>0</v>
      </c>
      <c r="AM25" s="395">
        <f t="shared" ca="1" si="28"/>
        <v>0</v>
      </c>
      <c r="AN25" s="395">
        <f t="shared" ca="1" si="29"/>
        <v>0</v>
      </c>
      <c r="AO25" s="395">
        <f t="shared" ca="1" si="30"/>
        <v>0</v>
      </c>
      <c r="AP25" s="395">
        <f t="shared" ca="1" si="31"/>
        <v>0</v>
      </c>
      <c r="AQ25" s="395">
        <f t="shared" ca="1" si="32"/>
        <v>0</v>
      </c>
      <c r="AR25" s="395">
        <f t="shared" ca="1" si="33"/>
        <v>0</v>
      </c>
      <c r="AS25" s="395">
        <f t="shared" ca="1" si="34"/>
        <v>0</v>
      </c>
      <c r="AT25" s="395">
        <f t="shared" ca="1" si="35"/>
        <v>0</v>
      </c>
      <c r="AU25" s="395">
        <f t="shared" ca="1" si="36"/>
        <v>0</v>
      </c>
      <c r="AV25" s="395">
        <f t="shared" ca="1" si="37"/>
        <v>0</v>
      </c>
      <c r="AW25" s="395">
        <f t="shared" ca="1" si="38"/>
        <v>0</v>
      </c>
    </row>
    <row r="26" spans="1:49" s="392" customFormat="1" ht="12" customHeight="1">
      <c r="A26" s="63">
        <f t="array" aca="1" ref="A26" ca="1">IF(C26&lt;&gt;0,SUM(($C$11:C26&lt;&gt;0)*1),"")</f>
        <v>16</v>
      </c>
      <c r="B26" s="393">
        <f ca="1">IF(ROWS($1:16)&gt;COUNT(Dong8),"",OFFSET(TH!C$1,SMALL(Dong8,ROWS($1:16)),))</f>
        <v>41857</v>
      </c>
      <c r="C26" s="393" t="str">
        <f ca="1">IF(ROWS($1:16)&gt;COUNT(Dong8),"",OFFSET(TH!D$1,SMALL(Dong8,ROWS($1:16)),))</f>
        <v>GBN</v>
      </c>
      <c r="D26" s="393">
        <f ca="1">IF(ROWS($1:16)&gt;COUNT(Dong8),"",OFFSET(TH!E$1,SMALL(Dong8,ROWS($1:16)),))</f>
        <v>41857</v>
      </c>
      <c r="E26" s="443" t="str">
        <f ca="1">IF(ROWS($1:16)&gt;COUNT(Dong8),"",OFFSET(TH!F$1,SMALL(Dong8,ROWS($1:16)),))</f>
        <v xml:space="preserve">Phí chuyển tiền </v>
      </c>
      <c r="F26" s="444">
        <f ca="1">IF(ROWS($1:16)&gt;COUNT(Dong8),"",OFFSET(TH!I$1,SMALL(Dong8,ROWS($1:16)),))</f>
        <v>25000</v>
      </c>
      <c r="G26" s="456" t="str">
        <f ca="1">IF(ROWS($1:16)&gt;COUNT(Dong8),"",OFFSET(TH!J$1,SMALL(Dong8,ROWS($1:16)),))</f>
        <v>642</v>
      </c>
      <c r="H26" s="456" t="str">
        <f ca="1">IF(ROWS($1:16)&gt;COUNT(Dong8),"",OFFSET(TH!K$1,SMALL(Dong8,ROWS($1:16)),))</f>
        <v>1121</v>
      </c>
      <c r="I26" s="63">
        <f t="shared" ca="1" si="0"/>
        <v>16</v>
      </c>
      <c r="J26" s="395">
        <f t="shared" ca="1" si="1"/>
        <v>0</v>
      </c>
      <c r="K26" s="395">
        <f t="shared" ca="1" si="2"/>
        <v>0</v>
      </c>
      <c r="L26" s="395">
        <f t="shared" ca="1" si="3"/>
        <v>0</v>
      </c>
      <c r="M26" s="395">
        <f t="shared" ca="1" si="4"/>
        <v>25000</v>
      </c>
      <c r="N26" s="395">
        <f t="shared" ca="1" si="5"/>
        <v>0</v>
      </c>
      <c r="O26" s="395">
        <f t="shared" ca="1" si="6"/>
        <v>0</v>
      </c>
      <c r="P26" s="395">
        <f t="shared" ca="1" si="7"/>
        <v>0</v>
      </c>
      <c r="Q26" s="395">
        <f t="shared" ca="1" si="8"/>
        <v>0</v>
      </c>
      <c r="R26" s="395">
        <f t="shared" ca="1" si="39"/>
        <v>0</v>
      </c>
      <c r="S26" s="395">
        <f t="shared" ca="1" si="40"/>
        <v>0</v>
      </c>
      <c r="T26" s="395">
        <f t="shared" ca="1" si="9"/>
        <v>0</v>
      </c>
      <c r="U26" s="395">
        <f t="shared" ca="1" si="10"/>
        <v>0</v>
      </c>
      <c r="V26" s="395">
        <f t="shared" ca="1" si="11"/>
        <v>0</v>
      </c>
      <c r="W26" s="395">
        <f t="shared" ca="1" si="12"/>
        <v>0</v>
      </c>
      <c r="X26" s="395">
        <f t="shared" ca="1" si="13"/>
        <v>0</v>
      </c>
      <c r="Y26" s="395">
        <f t="shared" ca="1" si="14"/>
        <v>0</v>
      </c>
      <c r="Z26" s="395">
        <f t="shared" ca="1" si="15"/>
        <v>0</v>
      </c>
      <c r="AA26" s="395">
        <f t="shared" ca="1" si="16"/>
        <v>0</v>
      </c>
      <c r="AB26" s="395">
        <f t="shared" ca="1" si="17"/>
        <v>0</v>
      </c>
      <c r="AC26" s="395">
        <f t="shared" ca="1" si="18"/>
        <v>0</v>
      </c>
      <c r="AD26" s="395">
        <f t="shared" ca="1" si="19"/>
        <v>0</v>
      </c>
      <c r="AE26" s="395">
        <f t="shared" ca="1" si="20"/>
        <v>0</v>
      </c>
      <c r="AF26" s="395">
        <f t="shared" ca="1" si="21"/>
        <v>0</v>
      </c>
      <c r="AG26" s="395">
        <f t="shared" ca="1" si="22"/>
        <v>0</v>
      </c>
      <c r="AH26" s="395">
        <f t="shared" ca="1" si="23"/>
        <v>0</v>
      </c>
      <c r="AI26" s="395">
        <f t="shared" ca="1" si="24"/>
        <v>0</v>
      </c>
      <c r="AJ26" s="395">
        <f t="shared" ca="1" si="25"/>
        <v>0</v>
      </c>
      <c r="AK26" s="395">
        <f t="shared" ca="1" si="26"/>
        <v>0</v>
      </c>
      <c r="AL26" s="395">
        <f t="shared" ca="1" si="27"/>
        <v>0</v>
      </c>
      <c r="AM26" s="395">
        <f t="shared" ca="1" si="28"/>
        <v>0</v>
      </c>
      <c r="AN26" s="395">
        <f t="shared" ca="1" si="29"/>
        <v>25000</v>
      </c>
      <c r="AO26" s="395">
        <f t="shared" ca="1" si="30"/>
        <v>0</v>
      </c>
      <c r="AP26" s="395">
        <f t="shared" ca="1" si="31"/>
        <v>0</v>
      </c>
      <c r="AQ26" s="395">
        <f t="shared" ca="1" si="32"/>
        <v>0</v>
      </c>
      <c r="AR26" s="395">
        <f t="shared" ca="1" si="33"/>
        <v>0</v>
      </c>
      <c r="AS26" s="395">
        <f t="shared" ca="1" si="34"/>
        <v>0</v>
      </c>
      <c r="AT26" s="395">
        <f t="shared" ca="1" si="35"/>
        <v>0</v>
      </c>
      <c r="AU26" s="395">
        <f t="shared" ca="1" si="36"/>
        <v>0</v>
      </c>
      <c r="AV26" s="395">
        <f t="shared" ca="1" si="37"/>
        <v>0</v>
      </c>
      <c r="AW26" s="395">
        <f t="shared" ca="1" si="38"/>
        <v>0</v>
      </c>
    </row>
    <row r="27" spans="1:49" s="392" customFormat="1" ht="12" customHeight="1">
      <c r="A27" s="63">
        <f t="array" aca="1" ref="A27" ca="1">IF(C27&lt;&gt;0,SUM(($C$11:C27&lt;&gt;0)*1),"")</f>
        <v>17</v>
      </c>
      <c r="B27" s="393">
        <f ca="1">IF(ROWS($1:17)&gt;COUNT(Dong8),"",OFFSET(TH!C$1,SMALL(Dong8,ROWS($1:17)),))</f>
        <v>41857</v>
      </c>
      <c r="C27" s="393" t="str">
        <f ca="1">IF(ROWS($1:17)&gt;COUNT(Dong8),"",OFFSET(TH!D$1,SMALL(Dong8,ROWS($1:17)),))</f>
        <v>GBN</v>
      </c>
      <c r="D27" s="393">
        <f ca="1">IF(ROWS($1:17)&gt;COUNT(Dong8),"",OFFSET(TH!E$1,SMALL(Dong8,ROWS($1:17)),))</f>
        <v>41857</v>
      </c>
      <c r="E27" s="443" t="str">
        <f ca="1">IF(ROWS($1:17)&gt;COUNT(Dong8),"",OFFSET(TH!F$1,SMALL(Dong8,ROWS($1:17)),))</f>
        <v xml:space="preserve">VAT Phí chuyển tiền </v>
      </c>
      <c r="F27" s="444">
        <f ca="1">IF(ROWS($1:17)&gt;COUNT(Dong8),"",OFFSET(TH!I$1,SMALL(Dong8,ROWS($1:17)),))</f>
        <v>2500</v>
      </c>
      <c r="G27" s="456" t="str">
        <f ca="1">IF(ROWS($1:17)&gt;COUNT(Dong8),"",OFFSET(TH!J$1,SMALL(Dong8,ROWS($1:17)),))</f>
        <v>1331</v>
      </c>
      <c r="H27" s="456" t="str">
        <f ca="1">IF(ROWS($1:17)&gt;COUNT(Dong8),"",OFFSET(TH!K$1,SMALL(Dong8,ROWS($1:17)),))</f>
        <v>1121</v>
      </c>
      <c r="I27" s="63">
        <f ca="1">A27</f>
        <v>17</v>
      </c>
      <c r="J27" s="395">
        <f t="shared" ca="1" si="1"/>
        <v>0</v>
      </c>
      <c r="K27" s="395">
        <f t="shared" ca="1" si="2"/>
        <v>0</v>
      </c>
      <c r="L27" s="395">
        <f t="shared" ca="1" si="3"/>
        <v>0</v>
      </c>
      <c r="M27" s="395">
        <f t="shared" ca="1" si="4"/>
        <v>2500</v>
      </c>
      <c r="N27" s="395">
        <f t="shared" ca="1" si="5"/>
        <v>2500</v>
      </c>
      <c r="O27" s="395">
        <f t="shared" ca="1" si="6"/>
        <v>0</v>
      </c>
      <c r="P27" s="395">
        <f t="shared" ca="1" si="7"/>
        <v>0</v>
      </c>
      <c r="Q27" s="395">
        <f t="shared" ca="1" si="8"/>
        <v>0</v>
      </c>
      <c r="R27" s="395">
        <f t="shared" ca="1" si="39"/>
        <v>0</v>
      </c>
      <c r="S27" s="395">
        <f t="shared" ca="1" si="40"/>
        <v>0</v>
      </c>
      <c r="T27" s="395">
        <f t="shared" ca="1" si="9"/>
        <v>0</v>
      </c>
      <c r="U27" s="395">
        <f t="shared" ca="1" si="10"/>
        <v>0</v>
      </c>
      <c r="V27" s="395">
        <f t="shared" ca="1" si="11"/>
        <v>0</v>
      </c>
      <c r="W27" s="395">
        <f t="shared" ca="1" si="12"/>
        <v>0</v>
      </c>
      <c r="X27" s="395">
        <f t="shared" ca="1" si="13"/>
        <v>0</v>
      </c>
      <c r="Y27" s="395">
        <f t="shared" ca="1" si="14"/>
        <v>0</v>
      </c>
      <c r="Z27" s="395">
        <f t="shared" ca="1" si="15"/>
        <v>0</v>
      </c>
      <c r="AA27" s="395">
        <f t="shared" ca="1" si="16"/>
        <v>0</v>
      </c>
      <c r="AB27" s="395">
        <f t="shared" ca="1" si="17"/>
        <v>0</v>
      </c>
      <c r="AC27" s="395">
        <f t="shared" ca="1" si="18"/>
        <v>0</v>
      </c>
      <c r="AD27" s="395">
        <f t="shared" ca="1" si="19"/>
        <v>0</v>
      </c>
      <c r="AE27" s="395">
        <f t="shared" ca="1" si="20"/>
        <v>0</v>
      </c>
      <c r="AF27" s="395">
        <f t="shared" ca="1" si="21"/>
        <v>0</v>
      </c>
      <c r="AG27" s="395">
        <f t="shared" ca="1" si="22"/>
        <v>0</v>
      </c>
      <c r="AH27" s="395">
        <f t="shared" ca="1" si="23"/>
        <v>0</v>
      </c>
      <c r="AI27" s="395">
        <f t="shared" ca="1" si="24"/>
        <v>0</v>
      </c>
      <c r="AJ27" s="395">
        <f t="shared" ca="1" si="25"/>
        <v>0</v>
      </c>
      <c r="AK27" s="395">
        <f t="shared" ca="1" si="26"/>
        <v>0</v>
      </c>
      <c r="AL27" s="395">
        <f t="shared" ca="1" si="27"/>
        <v>0</v>
      </c>
      <c r="AM27" s="395">
        <f t="shared" ca="1" si="28"/>
        <v>0</v>
      </c>
      <c r="AN27" s="395">
        <f t="shared" ca="1" si="29"/>
        <v>0</v>
      </c>
      <c r="AO27" s="395">
        <f t="shared" ca="1" si="30"/>
        <v>0</v>
      </c>
      <c r="AP27" s="395">
        <f t="shared" ca="1" si="31"/>
        <v>0</v>
      </c>
      <c r="AQ27" s="395">
        <f t="shared" ca="1" si="32"/>
        <v>0</v>
      </c>
      <c r="AR27" s="395">
        <f t="shared" ca="1" si="33"/>
        <v>0</v>
      </c>
      <c r="AS27" s="395">
        <f t="shared" ca="1" si="34"/>
        <v>0</v>
      </c>
      <c r="AT27" s="395">
        <f t="shared" ca="1" si="35"/>
        <v>0</v>
      </c>
      <c r="AU27" s="395">
        <f t="shared" ca="1" si="36"/>
        <v>0</v>
      </c>
      <c r="AV27" s="395">
        <f t="shared" ca="1" si="37"/>
        <v>0</v>
      </c>
      <c r="AW27" s="395">
        <f t="shared" ca="1" si="38"/>
        <v>0</v>
      </c>
    </row>
    <row r="28" spans="1:49" s="392" customFormat="1" ht="12" customHeight="1">
      <c r="A28" s="63">
        <f t="array" aca="1" ref="A28" ca="1">IF(C28&lt;&gt;0,SUM(($C$11:C28&lt;&gt;0)*1),"")</f>
        <v>18</v>
      </c>
      <c r="B28" s="393">
        <f ca="1">IF(ROWS($1:18)&gt;COUNT(Dong8),"",OFFSET(TH!C$1,SMALL(Dong8,ROWS($1:18)),))</f>
        <v>41865</v>
      </c>
      <c r="C28" s="393" t="str">
        <f ca="1">IF(ROWS($1:18)&gt;COUNT(Dong8),"",OFFSET(TH!D$1,SMALL(Dong8,ROWS($1:18)),))</f>
        <v>C04</v>
      </c>
      <c r="D28" s="393">
        <f ca="1">IF(ROWS($1:18)&gt;COUNT(Dong8),"",OFFSET(TH!E$1,SMALL(Dong8,ROWS($1:18)),))</f>
        <v>41865</v>
      </c>
      <c r="E28" s="443" t="str">
        <f ca="1">IF(ROWS($1:18)&gt;COUNT(Dong8),"",OFFSET(TH!F$1,SMALL(Dong8,ROWS($1:18)),))</f>
        <v>Nộp tiền mặt vào tài khoản ngân hàng</v>
      </c>
      <c r="F28" s="444">
        <f ca="1">IF(ROWS($1:18)&gt;COUNT(Dong8),"",OFFSET(TH!I$1,SMALL(Dong8,ROWS($1:18)),))</f>
        <v>253000000</v>
      </c>
      <c r="G28" s="456" t="str">
        <f ca="1">IF(ROWS($1:18)&gt;COUNT(Dong8),"",OFFSET(TH!J$1,SMALL(Dong8,ROWS($1:18)),))</f>
        <v>1121</v>
      </c>
      <c r="H28" s="456" t="str">
        <f ca="1">IF(ROWS($1:18)&gt;COUNT(Dong8),"",OFFSET(TH!K$1,SMALL(Dong8,ROWS($1:18)),))</f>
        <v>1111</v>
      </c>
      <c r="I28" s="63">
        <f t="shared" ref="I28:I75" ca="1" si="41">A28</f>
        <v>18</v>
      </c>
      <c r="J28" s="395">
        <f t="shared" ca="1" si="1"/>
        <v>0</v>
      </c>
      <c r="K28" s="395">
        <f t="shared" ca="1" si="2"/>
        <v>253000000</v>
      </c>
      <c r="L28" s="395">
        <f t="shared" ca="1" si="3"/>
        <v>253000000</v>
      </c>
      <c r="M28" s="395">
        <f t="shared" ca="1" si="4"/>
        <v>0</v>
      </c>
      <c r="N28" s="395">
        <f t="shared" ca="1" si="5"/>
        <v>0</v>
      </c>
      <c r="O28" s="395">
        <f t="shared" ca="1" si="6"/>
        <v>0</v>
      </c>
      <c r="P28" s="395">
        <f t="shared" ca="1" si="7"/>
        <v>0</v>
      </c>
      <c r="Q28" s="395">
        <f t="shared" ca="1" si="8"/>
        <v>0</v>
      </c>
      <c r="R28" s="395">
        <f t="shared" ca="1" si="39"/>
        <v>0</v>
      </c>
      <c r="S28" s="395">
        <f t="shared" ca="1" si="40"/>
        <v>0</v>
      </c>
      <c r="T28" s="395">
        <f t="shared" ca="1" si="9"/>
        <v>0</v>
      </c>
      <c r="U28" s="395">
        <f t="shared" ca="1" si="10"/>
        <v>0</v>
      </c>
      <c r="V28" s="395">
        <f t="shared" ca="1" si="11"/>
        <v>0</v>
      </c>
      <c r="W28" s="395">
        <f t="shared" ca="1" si="12"/>
        <v>0</v>
      </c>
      <c r="X28" s="395">
        <f t="shared" ca="1" si="13"/>
        <v>0</v>
      </c>
      <c r="Y28" s="395">
        <f t="shared" ca="1" si="14"/>
        <v>0</v>
      </c>
      <c r="Z28" s="395">
        <f t="shared" ca="1" si="15"/>
        <v>0</v>
      </c>
      <c r="AA28" s="395">
        <f t="shared" ca="1" si="16"/>
        <v>0</v>
      </c>
      <c r="AB28" s="395">
        <f t="shared" ca="1" si="17"/>
        <v>0</v>
      </c>
      <c r="AC28" s="395">
        <f t="shared" ca="1" si="18"/>
        <v>0</v>
      </c>
      <c r="AD28" s="395">
        <f t="shared" ca="1" si="19"/>
        <v>0</v>
      </c>
      <c r="AE28" s="395">
        <f t="shared" ca="1" si="20"/>
        <v>0</v>
      </c>
      <c r="AF28" s="395">
        <f t="shared" ca="1" si="21"/>
        <v>0</v>
      </c>
      <c r="AG28" s="395">
        <f t="shared" ca="1" si="22"/>
        <v>0</v>
      </c>
      <c r="AH28" s="395">
        <f t="shared" ca="1" si="23"/>
        <v>0</v>
      </c>
      <c r="AI28" s="395">
        <f t="shared" ca="1" si="24"/>
        <v>0</v>
      </c>
      <c r="AJ28" s="395">
        <f t="shared" ca="1" si="25"/>
        <v>0</v>
      </c>
      <c r="AK28" s="395">
        <f t="shared" ca="1" si="26"/>
        <v>0</v>
      </c>
      <c r="AL28" s="395">
        <f t="shared" ca="1" si="27"/>
        <v>0</v>
      </c>
      <c r="AM28" s="395">
        <f t="shared" ca="1" si="28"/>
        <v>0</v>
      </c>
      <c r="AN28" s="395">
        <f t="shared" ca="1" si="29"/>
        <v>0</v>
      </c>
      <c r="AO28" s="395">
        <f t="shared" ca="1" si="30"/>
        <v>0</v>
      </c>
      <c r="AP28" s="395">
        <f t="shared" ca="1" si="31"/>
        <v>0</v>
      </c>
      <c r="AQ28" s="395">
        <f t="shared" ca="1" si="32"/>
        <v>0</v>
      </c>
      <c r="AR28" s="395">
        <f t="shared" ca="1" si="33"/>
        <v>0</v>
      </c>
      <c r="AS28" s="395">
        <f t="shared" ca="1" si="34"/>
        <v>0</v>
      </c>
      <c r="AT28" s="395">
        <f t="shared" ca="1" si="35"/>
        <v>0</v>
      </c>
      <c r="AU28" s="395">
        <f t="shared" ca="1" si="36"/>
        <v>0</v>
      </c>
      <c r="AV28" s="395">
        <f t="shared" ca="1" si="37"/>
        <v>0</v>
      </c>
      <c r="AW28" s="395">
        <f t="shared" ca="1" si="38"/>
        <v>0</v>
      </c>
    </row>
    <row r="29" spans="1:49" s="392" customFormat="1" ht="12" customHeight="1">
      <c r="A29" s="63">
        <f t="array" aca="1" ref="A29" ca="1">IF(C29&lt;&gt;0,SUM(($C$11:C29&lt;&gt;0)*1),"")</f>
        <v>19</v>
      </c>
      <c r="B29" s="393">
        <f ca="1">IF(ROWS($1:19)&gt;COUNT(Dong8),"",OFFSET(TH!C$1,SMALL(Dong8,ROWS($1:19)),))</f>
        <v>41865</v>
      </c>
      <c r="C29" s="393" t="str">
        <f ca="1">IF(ROWS($1:19)&gt;COUNT(Dong8),"",OFFSET(TH!D$1,SMALL(Dong8,ROWS($1:19)),))</f>
        <v>GBN</v>
      </c>
      <c r="D29" s="393">
        <f ca="1">IF(ROWS($1:19)&gt;COUNT(Dong8),"",OFFSET(TH!E$1,SMALL(Dong8,ROWS($1:19)),))</f>
        <v>41865</v>
      </c>
      <c r="E29" s="443" t="str">
        <f ca="1">IF(ROWS($1:19)&gt;COUNT(Dong8),"",OFFSET(TH!F$1,SMALL(Dong8,ROWS($1:19)),))</f>
        <v>Ứng tiền cọc betong IBS</v>
      </c>
      <c r="F29" s="444">
        <f ca="1">IF(ROWS($1:19)&gt;COUNT(Dong8),"",OFFSET(TH!I$1,SMALL(Dong8,ROWS($1:19)),))</f>
        <v>252519960</v>
      </c>
      <c r="G29" s="456" t="str">
        <f ca="1">IF(ROWS($1:19)&gt;COUNT(Dong8),"",OFFSET(TH!J$1,SMALL(Dong8,ROWS($1:19)),))</f>
        <v>331</v>
      </c>
      <c r="H29" s="456" t="str">
        <f ca="1">IF(ROWS($1:19)&gt;COUNT(Dong8),"",OFFSET(TH!K$1,SMALL(Dong8,ROWS($1:19)),))</f>
        <v>1121</v>
      </c>
      <c r="I29" s="63">
        <f t="shared" ca="1" si="41"/>
        <v>19</v>
      </c>
      <c r="J29" s="395">
        <f t="shared" ca="1" si="1"/>
        <v>0</v>
      </c>
      <c r="K29" s="395">
        <f t="shared" ca="1" si="2"/>
        <v>0</v>
      </c>
      <c r="L29" s="395">
        <f t="shared" ca="1" si="3"/>
        <v>0</v>
      </c>
      <c r="M29" s="395">
        <f t="shared" ca="1" si="4"/>
        <v>252519960</v>
      </c>
      <c r="N29" s="395">
        <f t="shared" ca="1" si="5"/>
        <v>0</v>
      </c>
      <c r="O29" s="395">
        <f t="shared" ca="1" si="6"/>
        <v>0</v>
      </c>
      <c r="P29" s="395">
        <f t="shared" ca="1" si="7"/>
        <v>0</v>
      </c>
      <c r="Q29" s="395">
        <f t="shared" ca="1" si="8"/>
        <v>0</v>
      </c>
      <c r="R29" s="395">
        <f t="shared" ca="1" si="39"/>
        <v>0</v>
      </c>
      <c r="S29" s="395">
        <f t="shared" ca="1" si="40"/>
        <v>0</v>
      </c>
      <c r="T29" s="395">
        <f t="shared" ca="1" si="9"/>
        <v>252519960</v>
      </c>
      <c r="U29" s="395">
        <f t="shared" ca="1" si="10"/>
        <v>0</v>
      </c>
      <c r="V29" s="395">
        <f t="shared" ca="1" si="11"/>
        <v>0</v>
      </c>
      <c r="W29" s="395">
        <f t="shared" ca="1" si="12"/>
        <v>0</v>
      </c>
      <c r="X29" s="395">
        <f t="shared" ca="1" si="13"/>
        <v>0</v>
      </c>
      <c r="Y29" s="395">
        <f t="shared" ca="1" si="14"/>
        <v>0</v>
      </c>
      <c r="Z29" s="395">
        <f t="shared" ca="1" si="15"/>
        <v>0</v>
      </c>
      <c r="AA29" s="395">
        <f t="shared" ca="1" si="16"/>
        <v>0</v>
      </c>
      <c r="AB29" s="395">
        <f t="shared" ca="1" si="17"/>
        <v>0</v>
      </c>
      <c r="AC29" s="395">
        <f t="shared" ca="1" si="18"/>
        <v>0</v>
      </c>
      <c r="AD29" s="395">
        <f t="shared" ca="1" si="19"/>
        <v>0</v>
      </c>
      <c r="AE29" s="395">
        <f t="shared" ca="1" si="20"/>
        <v>0</v>
      </c>
      <c r="AF29" s="395">
        <f t="shared" ca="1" si="21"/>
        <v>0</v>
      </c>
      <c r="AG29" s="395">
        <f t="shared" ca="1" si="22"/>
        <v>0</v>
      </c>
      <c r="AH29" s="395">
        <f t="shared" ca="1" si="23"/>
        <v>0</v>
      </c>
      <c r="AI29" s="395">
        <f t="shared" ca="1" si="24"/>
        <v>0</v>
      </c>
      <c r="AJ29" s="395">
        <f t="shared" ca="1" si="25"/>
        <v>0</v>
      </c>
      <c r="AK29" s="395">
        <f t="shared" ca="1" si="26"/>
        <v>0</v>
      </c>
      <c r="AL29" s="395">
        <f t="shared" ca="1" si="27"/>
        <v>0</v>
      </c>
      <c r="AM29" s="395">
        <f t="shared" ca="1" si="28"/>
        <v>0</v>
      </c>
      <c r="AN29" s="395">
        <f t="shared" ca="1" si="29"/>
        <v>0</v>
      </c>
      <c r="AO29" s="395">
        <f t="shared" ca="1" si="30"/>
        <v>0</v>
      </c>
      <c r="AP29" s="395">
        <f t="shared" ca="1" si="31"/>
        <v>0</v>
      </c>
      <c r="AQ29" s="395">
        <f t="shared" ca="1" si="32"/>
        <v>0</v>
      </c>
      <c r="AR29" s="395">
        <f t="shared" ca="1" si="33"/>
        <v>0</v>
      </c>
      <c r="AS29" s="395">
        <f t="shared" ca="1" si="34"/>
        <v>0</v>
      </c>
      <c r="AT29" s="395">
        <f t="shared" ca="1" si="35"/>
        <v>0</v>
      </c>
      <c r="AU29" s="395">
        <f t="shared" ca="1" si="36"/>
        <v>0</v>
      </c>
      <c r="AV29" s="395">
        <f t="shared" ca="1" si="37"/>
        <v>0</v>
      </c>
      <c r="AW29" s="395">
        <f t="shared" ca="1" si="38"/>
        <v>0</v>
      </c>
    </row>
    <row r="30" spans="1:49" s="392" customFormat="1" ht="12" customHeight="1">
      <c r="A30" s="63">
        <f t="array" aca="1" ref="A30" ca="1">IF(C30&lt;&gt;0,SUM(($C$11:C30&lt;&gt;0)*1),"")</f>
        <v>20</v>
      </c>
      <c r="B30" s="393">
        <f ca="1">IF(ROWS($1:20)&gt;COUNT(Dong8),"",OFFSET(TH!C$1,SMALL(Dong8,ROWS($1:20)),))</f>
        <v>41865</v>
      </c>
      <c r="C30" s="393" t="str">
        <f ca="1">IF(ROWS($1:20)&gt;COUNT(Dong8),"",OFFSET(TH!D$1,SMALL(Dong8,ROWS($1:20)),))</f>
        <v>GBN</v>
      </c>
      <c r="D30" s="393">
        <f ca="1">IF(ROWS($1:20)&gt;COUNT(Dong8),"",OFFSET(TH!E$1,SMALL(Dong8,ROWS($1:20)),))</f>
        <v>41865</v>
      </c>
      <c r="E30" s="443" t="str">
        <f ca="1">IF(ROWS($1:20)&gt;COUNT(Dong8),"",OFFSET(TH!F$1,SMALL(Dong8,ROWS($1:20)),))</f>
        <v xml:space="preserve">Phí chuyển tiền </v>
      </c>
      <c r="F30" s="444">
        <f ca="1">IF(ROWS($1:20)&gt;COUNT(Dong8),"",OFFSET(TH!I$1,SMALL(Dong8,ROWS($1:20)),))</f>
        <v>151275</v>
      </c>
      <c r="G30" s="456" t="str">
        <f ca="1">IF(ROWS($1:20)&gt;COUNT(Dong8),"",OFFSET(TH!J$1,SMALL(Dong8,ROWS($1:20)),))</f>
        <v>642</v>
      </c>
      <c r="H30" s="456" t="str">
        <f ca="1">IF(ROWS($1:20)&gt;COUNT(Dong8),"",OFFSET(TH!K$1,SMALL(Dong8,ROWS($1:20)),))</f>
        <v>1121</v>
      </c>
      <c r="I30" s="63">
        <f t="shared" ca="1" si="41"/>
        <v>20</v>
      </c>
      <c r="J30" s="395">
        <f t="shared" ca="1" si="1"/>
        <v>0</v>
      </c>
      <c r="K30" s="395">
        <f t="shared" ca="1" si="2"/>
        <v>0</v>
      </c>
      <c r="L30" s="395">
        <f t="shared" ca="1" si="3"/>
        <v>0</v>
      </c>
      <c r="M30" s="395">
        <f t="shared" ca="1" si="4"/>
        <v>151275</v>
      </c>
      <c r="N30" s="395">
        <f t="shared" ca="1" si="5"/>
        <v>0</v>
      </c>
      <c r="O30" s="395">
        <f t="shared" ca="1" si="6"/>
        <v>0</v>
      </c>
      <c r="P30" s="395">
        <f t="shared" ca="1" si="7"/>
        <v>0</v>
      </c>
      <c r="Q30" s="395">
        <f t="shared" ca="1" si="8"/>
        <v>0</v>
      </c>
      <c r="R30" s="395">
        <f t="shared" ca="1" si="39"/>
        <v>0</v>
      </c>
      <c r="S30" s="395">
        <f t="shared" ca="1" si="40"/>
        <v>0</v>
      </c>
      <c r="T30" s="395">
        <f t="shared" ca="1" si="9"/>
        <v>0</v>
      </c>
      <c r="U30" s="395">
        <f t="shared" ca="1" si="10"/>
        <v>0</v>
      </c>
      <c r="V30" s="395">
        <f t="shared" ca="1" si="11"/>
        <v>0</v>
      </c>
      <c r="W30" s="395">
        <f t="shared" ca="1" si="12"/>
        <v>0</v>
      </c>
      <c r="X30" s="395">
        <f t="shared" ca="1" si="13"/>
        <v>0</v>
      </c>
      <c r="Y30" s="395">
        <f t="shared" ca="1" si="14"/>
        <v>0</v>
      </c>
      <c r="Z30" s="395">
        <f t="shared" ca="1" si="15"/>
        <v>0</v>
      </c>
      <c r="AA30" s="395">
        <f t="shared" ca="1" si="16"/>
        <v>0</v>
      </c>
      <c r="AB30" s="395">
        <f t="shared" ca="1" si="17"/>
        <v>0</v>
      </c>
      <c r="AC30" s="395">
        <f t="shared" ca="1" si="18"/>
        <v>0</v>
      </c>
      <c r="AD30" s="395">
        <f t="shared" ca="1" si="19"/>
        <v>0</v>
      </c>
      <c r="AE30" s="395">
        <f t="shared" ca="1" si="20"/>
        <v>0</v>
      </c>
      <c r="AF30" s="395">
        <f t="shared" ca="1" si="21"/>
        <v>0</v>
      </c>
      <c r="AG30" s="395">
        <f t="shared" ca="1" si="22"/>
        <v>0</v>
      </c>
      <c r="AH30" s="395">
        <f t="shared" ca="1" si="23"/>
        <v>0</v>
      </c>
      <c r="AI30" s="395">
        <f t="shared" ca="1" si="24"/>
        <v>0</v>
      </c>
      <c r="AJ30" s="395">
        <f t="shared" ca="1" si="25"/>
        <v>0</v>
      </c>
      <c r="AK30" s="395">
        <f t="shared" ca="1" si="26"/>
        <v>0</v>
      </c>
      <c r="AL30" s="395">
        <f t="shared" ca="1" si="27"/>
        <v>0</v>
      </c>
      <c r="AM30" s="395">
        <f t="shared" ca="1" si="28"/>
        <v>0</v>
      </c>
      <c r="AN30" s="395">
        <f t="shared" ca="1" si="29"/>
        <v>151275</v>
      </c>
      <c r="AO30" s="395">
        <f t="shared" ca="1" si="30"/>
        <v>0</v>
      </c>
      <c r="AP30" s="395">
        <f t="shared" ca="1" si="31"/>
        <v>0</v>
      </c>
      <c r="AQ30" s="395">
        <f t="shared" ca="1" si="32"/>
        <v>0</v>
      </c>
      <c r="AR30" s="395">
        <f t="shared" ca="1" si="33"/>
        <v>0</v>
      </c>
      <c r="AS30" s="395">
        <f t="shared" ca="1" si="34"/>
        <v>0</v>
      </c>
      <c r="AT30" s="395">
        <f t="shared" ca="1" si="35"/>
        <v>0</v>
      </c>
      <c r="AU30" s="395">
        <f t="shared" ca="1" si="36"/>
        <v>0</v>
      </c>
      <c r="AV30" s="395">
        <f t="shared" ca="1" si="37"/>
        <v>0</v>
      </c>
      <c r="AW30" s="395">
        <f t="shared" ca="1" si="38"/>
        <v>0</v>
      </c>
    </row>
    <row r="31" spans="1:49" s="392" customFormat="1" ht="12" customHeight="1">
      <c r="A31" s="63">
        <f t="array" aca="1" ref="A31" ca="1">IF(C31&lt;&gt;0,SUM(($C$11:C31&lt;&gt;0)*1),"")</f>
        <v>21</v>
      </c>
      <c r="B31" s="393">
        <f ca="1">IF(ROWS($1:21)&gt;COUNT(Dong8),"",OFFSET(TH!C$1,SMALL(Dong8,ROWS($1:21)),))</f>
        <v>41865</v>
      </c>
      <c r="C31" s="393" t="str">
        <f ca="1">IF(ROWS($1:21)&gt;COUNT(Dong8),"",OFFSET(TH!D$1,SMALL(Dong8,ROWS($1:21)),))</f>
        <v>GBN</v>
      </c>
      <c r="D31" s="393">
        <f ca="1">IF(ROWS($1:21)&gt;COUNT(Dong8),"",OFFSET(TH!E$1,SMALL(Dong8,ROWS($1:21)),))</f>
        <v>41865</v>
      </c>
      <c r="E31" s="443" t="str">
        <f ca="1">IF(ROWS($1:21)&gt;COUNT(Dong8),"",OFFSET(TH!F$1,SMALL(Dong8,ROWS($1:21)),))</f>
        <v xml:space="preserve">VAT Phí chuyển tiền </v>
      </c>
      <c r="F31" s="444">
        <f ca="1">IF(ROWS($1:21)&gt;COUNT(Dong8),"",OFFSET(TH!I$1,SMALL(Dong8,ROWS($1:21)),))</f>
        <v>15127</v>
      </c>
      <c r="G31" s="456" t="str">
        <f ca="1">IF(ROWS($1:21)&gt;COUNT(Dong8),"",OFFSET(TH!J$1,SMALL(Dong8,ROWS($1:21)),))</f>
        <v>1331</v>
      </c>
      <c r="H31" s="456" t="str">
        <f ca="1">IF(ROWS($1:21)&gt;COUNT(Dong8),"",OFFSET(TH!K$1,SMALL(Dong8,ROWS($1:21)),))</f>
        <v>1121</v>
      </c>
      <c r="I31" s="63">
        <f t="shared" ca="1" si="41"/>
        <v>21</v>
      </c>
      <c r="J31" s="395">
        <f t="shared" ca="1" si="1"/>
        <v>0</v>
      </c>
      <c r="K31" s="395">
        <f t="shared" ca="1" si="2"/>
        <v>0</v>
      </c>
      <c r="L31" s="395">
        <f t="shared" ca="1" si="3"/>
        <v>0</v>
      </c>
      <c r="M31" s="395">
        <f t="shared" ca="1" si="4"/>
        <v>15127</v>
      </c>
      <c r="N31" s="395">
        <f t="shared" ca="1" si="5"/>
        <v>15127</v>
      </c>
      <c r="O31" s="395">
        <f t="shared" ca="1" si="6"/>
        <v>0</v>
      </c>
      <c r="P31" s="395">
        <f t="shared" ca="1" si="7"/>
        <v>0</v>
      </c>
      <c r="Q31" s="395">
        <f t="shared" ca="1" si="8"/>
        <v>0</v>
      </c>
      <c r="R31" s="395">
        <f t="shared" ca="1" si="39"/>
        <v>0</v>
      </c>
      <c r="S31" s="395">
        <f t="shared" ca="1" si="40"/>
        <v>0</v>
      </c>
      <c r="T31" s="395">
        <f t="shared" ca="1" si="9"/>
        <v>0</v>
      </c>
      <c r="U31" s="395">
        <f t="shared" ca="1" si="10"/>
        <v>0</v>
      </c>
      <c r="V31" s="395">
        <f t="shared" ca="1" si="11"/>
        <v>0</v>
      </c>
      <c r="W31" s="395">
        <f t="shared" ca="1" si="12"/>
        <v>0</v>
      </c>
      <c r="X31" s="395">
        <f t="shared" ca="1" si="13"/>
        <v>0</v>
      </c>
      <c r="Y31" s="395">
        <f t="shared" ca="1" si="14"/>
        <v>0</v>
      </c>
      <c r="Z31" s="395">
        <f t="shared" ca="1" si="15"/>
        <v>0</v>
      </c>
      <c r="AA31" s="395">
        <f t="shared" ca="1" si="16"/>
        <v>0</v>
      </c>
      <c r="AB31" s="395">
        <f t="shared" ca="1" si="17"/>
        <v>0</v>
      </c>
      <c r="AC31" s="395">
        <f t="shared" ca="1" si="18"/>
        <v>0</v>
      </c>
      <c r="AD31" s="395">
        <f t="shared" ca="1" si="19"/>
        <v>0</v>
      </c>
      <c r="AE31" s="395">
        <f t="shared" ca="1" si="20"/>
        <v>0</v>
      </c>
      <c r="AF31" s="395">
        <f t="shared" ca="1" si="21"/>
        <v>0</v>
      </c>
      <c r="AG31" s="395">
        <f t="shared" ca="1" si="22"/>
        <v>0</v>
      </c>
      <c r="AH31" s="395">
        <f t="shared" ca="1" si="23"/>
        <v>0</v>
      </c>
      <c r="AI31" s="395">
        <f t="shared" ca="1" si="24"/>
        <v>0</v>
      </c>
      <c r="AJ31" s="395">
        <f t="shared" ca="1" si="25"/>
        <v>0</v>
      </c>
      <c r="AK31" s="395">
        <f t="shared" ca="1" si="26"/>
        <v>0</v>
      </c>
      <c r="AL31" s="395">
        <f t="shared" ca="1" si="27"/>
        <v>0</v>
      </c>
      <c r="AM31" s="395">
        <f t="shared" ca="1" si="28"/>
        <v>0</v>
      </c>
      <c r="AN31" s="395">
        <f t="shared" ca="1" si="29"/>
        <v>0</v>
      </c>
      <c r="AO31" s="395">
        <f t="shared" ca="1" si="30"/>
        <v>0</v>
      </c>
      <c r="AP31" s="395">
        <f t="shared" ca="1" si="31"/>
        <v>0</v>
      </c>
      <c r="AQ31" s="395">
        <f t="shared" ca="1" si="32"/>
        <v>0</v>
      </c>
      <c r="AR31" s="395">
        <f t="shared" ca="1" si="33"/>
        <v>0</v>
      </c>
      <c r="AS31" s="395">
        <f t="shared" ca="1" si="34"/>
        <v>0</v>
      </c>
      <c r="AT31" s="395">
        <f t="shared" ca="1" si="35"/>
        <v>0</v>
      </c>
      <c r="AU31" s="395">
        <f t="shared" ca="1" si="36"/>
        <v>0</v>
      </c>
      <c r="AV31" s="395">
        <f t="shared" ca="1" si="37"/>
        <v>0</v>
      </c>
      <c r="AW31" s="395">
        <f t="shared" ca="1" si="38"/>
        <v>0</v>
      </c>
    </row>
    <row r="32" spans="1:49" s="392" customFormat="1" ht="12" customHeight="1">
      <c r="A32" s="63">
        <f t="array" aca="1" ref="A32" ca="1">IF(C32&lt;&gt;0,SUM(($C$11:C32&lt;&gt;0)*1),"")</f>
        <v>22</v>
      </c>
      <c r="B32" s="393">
        <f ca="1">IF(ROWS($1:22)&gt;COUNT(Dong8),"",OFFSET(TH!C$1,SMALL(Dong8,ROWS($1:22)),))</f>
        <v>41870</v>
      </c>
      <c r="C32" s="393" t="str">
        <f ca="1">IF(ROWS($1:22)&gt;COUNT(Dong8),"",OFFSET(TH!D$1,SMALL(Dong8,ROWS($1:22)),))</f>
        <v>GBC</v>
      </c>
      <c r="D32" s="393">
        <f ca="1">IF(ROWS($1:22)&gt;COUNT(Dong8),"",OFFSET(TH!E$1,SMALL(Dong8,ROWS($1:22)),))</f>
        <v>41870</v>
      </c>
      <c r="E32" s="443" t="str">
        <f ca="1">IF(ROWS($1:22)&gt;COUNT(Dong8),"",OFFSET(TH!F$1,SMALL(Dong8,ROWS($1:22)),))</f>
        <v>Vay KU 1402LDS201401630</v>
      </c>
      <c r="F32" s="444">
        <f ca="1">IF(ROWS($1:22)&gt;COUNT(Dong8),"",OFFSET(TH!I$1,SMALL(Dong8,ROWS($1:22)),))</f>
        <v>1000000000</v>
      </c>
      <c r="G32" s="456" t="str">
        <f ca="1">IF(ROWS($1:22)&gt;COUNT(Dong8),"",OFFSET(TH!J$1,SMALL(Dong8,ROWS($1:22)),))</f>
        <v>1121</v>
      </c>
      <c r="H32" s="456" t="str">
        <f ca="1">IF(ROWS($1:22)&gt;COUNT(Dong8),"",OFFSET(TH!K$1,SMALL(Dong8,ROWS($1:22)),))</f>
        <v>3411</v>
      </c>
      <c r="I32" s="63">
        <f t="shared" ca="1" si="41"/>
        <v>22</v>
      </c>
      <c r="J32" s="395">
        <f t="shared" ca="1" si="1"/>
        <v>0</v>
      </c>
      <c r="K32" s="395">
        <f t="shared" ca="1" si="2"/>
        <v>0</v>
      </c>
      <c r="L32" s="395">
        <f t="shared" ca="1" si="3"/>
        <v>1000000000</v>
      </c>
      <c r="M32" s="395">
        <f t="shared" ca="1" si="4"/>
        <v>0</v>
      </c>
      <c r="N32" s="395">
        <f t="shared" ca="1" si="5"/>
        <v>0</v>
      </c>
      <c r="O32" s="395">
        <f t="shared" ca="1" si="6"/>
        <v>0</v>
      </c>
      <c r="P32" s="395">
        <f t="shared" ca="1" si="7"/>
        <v>0</v>
      </c>
      <c r="Q32" s="395">
        <f t="shared" ca="1" si="8"/>
        <v>0</v>
      </c>
      <c r="R32" s="395">
        <f t="shared" ca="1" si="39"/>
        <v>0</v>
      </c>
      <c r="S32" s="395">
        <f t="shared" ca="1" si="40"/>
        <v>0</v>
      </c>
      <c r="T32" s="395">
        <f t="shared" ca="1" si="9"/>
        <v>0</v>
      </c>
      <c r="U32" s="395">
        <f t="shared" ca="1" si="10"/>
        <v>0</v>
      </c>
      <c r="V32" s="395">
        <f t="shared" ca="1" si="11"/>
        <v>0</v>
      </c>
      <c r="W32" s="395">
        <f t="shared" ca="1" si="12"/>
        <v>0</v>
      </c>
      <c r="X32" s="395">
        <f t="shared" ca="1" si="13"/>
        <v>0</v>
      </c>
      <c r="Y32" s="395">
        <f t="shared" ca="1" si="14"/>
        <v>0</v>
      </c>
      <c r="Z32" s="395">
        <f t="shared" ca="1" si="15"/>
        <v>0</v>
      </c>
      <c r="AA32" s="395">
        <f t="shared" ca="1" si="16"/>
        <v>0</v>
      </c>
      <c r="AB32" s="395">
        <f t="shared" ca="1" si="17"/>
        <v>0</v>
      </c>
      <c r="AC32" s="395">
        <f t="shared" ca="1" si="18"/>
        <v>1000000000</v>
      </c>
      <c r="AD32" s="395">
        <f t="shared" ca="1" si="19"/>
        <v>0</v>
      </c>
      <c r="AE32" s="395">
        <f t="shared" ca="1" si="20"/>
        <v>0</v>
      </c>
      <c r="AF32" s="395">
        <f t="shared" ca="1" si="21"/>
        <v>0</v>
      </c>
      <c r="AG32" s="395">
        <f t="shared" ca="1" si="22"/>
        <v>0</v>
      </c>
      <c r="AH32" s="395">
        <f t="shared" ca="1" si="23"/>
        <v>0</v>
      </c>
      <c r="AI32" s="395">
        <f t="shared" ca="1" si="24"/>
        <v>0</v>
      </c>
      <c r="AJ32" s="395">
        <f t="shared" ca="1" si="25"/>
        <v>0</v>
      </c>
      <c r="AK32" s="395">
        <f t="shared" ca="1" si="26"/>
        <v>0</v>
      </c>
      <c r="AL32" s="395">
        <f t="shared" ca="1" si="27"/>
        <v>0</v>
      </c>
      <c r="AM32" s="395">
        <f t="shared" ca="1" si="28"/>
        <v>0</v>
      </c>
      <c r="AN32" s="395">
        <f t="shared" ca="1" si="29"/>
        <v>0</v>
      </c>
      <c r="AO32" s="395">
        <f t="shared" ca="1" si="30"/>
        <v>0</v>
      </c>
      <c r="AP32" s="395">
        <f t="shared" ca="1" si="31"/>
        <v>0</v>
      </c>
      <c r="AQ32" s="395">
        <f t="shared" ca="1" si="32"/>
        <v>0</v>
      </c>
      <c r="AR32" s="395">
        <f t="shared" ca="1" si="33"/>
        <v>0</v>
      </c>
      <c r="AS32" s="395">
        <f t="shared" ca="1" si="34"/>
        <v>0</v>
      </c>
      <c r="AT32" s="395">
        <f t="shared" ca="1" si="35"/>
        <v>0</v>
      </c>
      <c r="AU32" s="395">
        <f t="shared" ca="1" si="36"/>
        <v>0</v>
      </c>
      <c r="AV32" s="395">
        <f t="shared" ca="1" si="37"/>
        <v>0</v>
      </c>
      <c r="AW32" s="395">
        <f t="shared" ca="1" si="38"/>
        <v>0</v>
      </c>
    </row>
    <row r="33" spans="1:49" s="392" customFormat="1" ht="12" customHeight="1">
      <c r="A33" s="63">
        <f t="array" aca="1" ref="A33" ca="1">IF(C33&lt;&gt;0,SUM(($C$11:C33&lt;&gt;0)*1),"")</f>
        <v>23</v>
      </c>
      <c r="B33" s="393">
        <f ca="1">IF(ROWS($1:23)&gt;COUNT(Dong8),"",OFFSET(TH!C$1,SMALL(Dong8,ROWS($1:23)),))</f>
        <v>41871</v>
      </c>
      <c r="C33" s="393" t="str">
        <f ca="1">IF(ROWS($1:23)&gt;COUNT(Dong8),"",OFFSET(TH!D$1,SMALL(Dong8,ROWS($1:23)),))</f>
        <v>GBN</v>
      </c>
      <c r="D33" s="393">
        <f ca="1">IF(ROWS($1:23)&gt;COUNT(Dong8),"",OFFSET(TH!E$1,SMALL(Dong8,ROWS($1:23)),))</f>
        <v>41871</v>
      </c>
      <c r="E33" s="443" t="str">
        <f ca="1">IF(ROWS($1:23)&gt;COUNT(Dong8),"",OFFSET(TH!F$1,SMALL(Dong8,ROWS($1:23)),))</f>
        <v>Tạm ứng tiền dự án</v>
      </c>
      <c r="F33" s="444">
        <f ca="1">IF(ROWS($1:23)&gt;COUNT(Dong8),"",OFFSET(TH!I$1,SMALL(Dong8,ROWS($1:23)),))</f>
        <v>50000000</v>
      </c>
      <c r="G33" s="456" t="str">
        <f ca="1">IF(ROWS($1:23)&gt;COUNT(Dong8),"",OFFSET(TH!J$1,SMALL(Dong8,ROWS($1:23)),))</f>
        <v>331</v>
      </c>
      <c r="H33" s="456" t="str">
        <f ca="1">IF(ROWS($1:23)&gt;COUNT(Dong8),"",OFFSET(TH!K$1,SMALL(Dong8,ROWS($1:23)),))</f>
        <v>1121</v>
      </c>
      <c r="I33" s="63">
        <f t="shared" ca="1" si="41"/>
        <v>23</v>
      </c>
      <c r="J33" s="395">
        <f t="shared" ca="1" si="1"/>
        <v>0</v>
      </c>
      <c r="K33" s="395">
        <f t="shared" ca="1" si="2"/>
        <v>0</v>
      </c>
      <c r="L33" s="395">
        <f t="shared" ca="1" si="3"/>
        <v>0</v>
      </c>
      <c r="M33" s="395">
        <f t="shared" ca="1" si="4"/>
        <v>50000000</v>
      </c>
      <c r="N33" s="395">
        <f t="shared" ca="1" si="5"/>
        <v>0</v>
      </c>
      <c r="O33" s="395">
        <f t="shared" ca="1" si="6"/>
        <v>0</v>
      </c>
      <c r="P33" s="395">
        <f t="shared" ca="1" si="7"/>
        <v>0</v>
      </c>
      <c r="Q33" s="395">
        <f t="shared" ca="1" si="8"/>
        <v>0</v>
      </c>
      <c r="R33" s="395">
        <f t="shared" ca="1" si="39"/>
        <v>0</v>
      </c>
      <c r="S33" s="395">
        <f t="shared" ca="1" si="40"/>
        <v>0</v>
      </c>
      <c r="T33" s="395">
        <f t="shared" ca="1" si="9"/>
        <v>50000000</v>
      </c>
      <c r="U33" s="395">
        <f t="shared" ca="1" si="10"/>
        <v>0</v>
      </c>
      <c r="V33" s="395">
        <f t="shared" ca="1" si="11"/>
        <v>0</v>
      </c>
      <c r="W33" s="395">
        <f t="shared" ca="1" si="12"/>
        <v>0</v>
      </c>
      <c r="X33" s="395">
        <f t="shared" ca="1" si="13"/>
        <v>0</v>
      </c>
      <c r="Y33" s="395">
        <f t="shared" ca="1" si="14"/>
        <v>0</v>
      </c>
      <c r="Z33" s="395">
        <f t="shared" ca="1" si="15"/>
        <v>0</v>
      </c>
      <c r="AA33" s="395">
        <f t="shared" ca="1" si="16"/>
        <v>0</v>
      </c>
      <c r="AB33" s="395">
        <f t="shared" ca="1" si="17"/>
        <v>0</v>
      </c>
      <c r="AC33" s="395">
        <f t="shared" ca="1" si="18"/>
        <v>0</v>
      </c>
      <c r="AD33" s="395">
        <f t="shared" ca="1" si="19"/>
        <v>0</v>
      </c>
      <c r="AE33" s="395">
        <f t="shared" ca="1" si="20"/>
        <v>0</v>
      </c>
      <c r="AF33" s="395">
        <f t="shared" ca="1" si="21"/>
        <v>0</v>
      </c>
      <c r="AG33" s="395">
        <f t="shared" ca="1" si="22"/>
        <v>0</v>
      </c>
      <c r="AH33" s="395">
        <f t="shared" ca="1" si="23"/>
        <v>0</v>
      </c>
      <c r="AI33" s="395">
        <f t="shared" ca="1" si="24"/>
        <v>0</v>
      </c>
      <c r="AJ33" s="395">
        <f t="shared" ca="1" si="25"/>
        <v>0</v>
      </c>
      <c r="AK33" s="395">
        <f t="shared" ca="1" si="26"/>
        <v>0</v>
      </c>
      <c r="AL33" s="395">
        <f t="shared" ca="1" si="27"/>
        <v>0</v>
      </c>
      <c r="AM33" s="395">
        <f t="shared" ca="1" si="28"/>
        <v>0</v>
      </c>
      <c r="AN33" s="395">
        <f t="shared" ca="1" si="29"/>
        <v>0</v>
      </c>
      <c r="AO33" s="395">
        <f t="shared" ca="1" si="30"/>
        <v>0</v>
      </c>
      <c r="AP33" s="395">
        <f t="shared" ca="1" si="31"/>
        <v>0</v>
      </c>
      <c r="AQ33" s="395">
        <f t="shared" ca="1" si="32"/>
        <v>0</v>
      </c>
      <c r="AR33" s="395">
        <f t="shared" ca="1" si="33"/>
        <v>0</v>
      </c>
      <c r="AS33" s="395">
        <f t="shared" ca="1" si="34"/>
        <v>0</v>
      </c>
      <c r="AT33" s="395">
        <f t="shared" ca="1" si="35"/>
        <v>0</v>
      </c>
      <c r="AU33" s="395">
        <f t="shared" ca="1" si="36"/>
        <v>0</v>
      </c>
      <c r="AV33" s="395">
        <f t="shared" ca="1" si="37"/>
        <v>0</v>
      </c>
      <c r="AW33" s="395">
        <f t="shared" ca="1" si="38"/>
        <v>0</v>
      </c>
    </row>
    <row r="34" spans="1:49" s="392" customFormat="1" ht="12" customHeight="1">
      <c r="A34" s="63">
        <f t="array" aca="1" ref="A34" ca="1">IF(C34&lt;&gt;0,SUM(($C$11:C34&lt;&gt;0)*1),"")</f>
        <v>24</v>
      </c>
      <c r="B34" s="393">
        <f ca="1">IF(ROWS($1:24)&gt;COUNT(Dong8),"",OFFSET(TH!C$1,SMALL(Dong8,ROWS($1:24)),))</f>
        <v>41871</v>
      </c>
      <c r="C34" s="393" t="str">
        <f ca="1">IF(ROWS($1:24)&gt;COUNT(Dong8),"",OFFSET(TH!D$1,SMALL(Dong8,ROWS($1:24)),))</f>
        <v>GBN</v>
      </c>
      <c r="D34" s="393">
        <f ca="1">IF(ROWS($1:24)&gt;COUNT(Dong8),"",OFFSET(TH!E$1,SMALL(Dong8,ROWS($1:24)),))</f>
        <v>41871</v>
      </c>
      <c r="E34" s="443" t="str">
        <f ca="1">IF(ROWS($1:24)&gt;COUNT(Dong8),"",OFFSET(TH!F$1,SMALL(Dong8,ROWS($1:24)),))</f>
        <v xml:space="preserve">Phí chuyển tiền </v>
      </c>
      <c r="F34" s="444">
        <f ca="1">IF(ROWS($1:24)&gt;COUNT(Dong8),"",OFFSET(TH!I$1,SMALL(Dong8,ROWS($1:24)),))</f>
        <v>25000</v>
      </c>
      <c r="G34" s="456" t="str">
        <f ca="1">IF(ROWS($1:24)&gt;COUNT(Dong8),"",OFFSET(TH!J$1,SMALL(Dong8,ROWS($1:24)),))</f>
        <v>642</v>
      </c>
      <c r="H34" s="456" t="str">
        <f ca="1">IF(ROWS($1:24)&gt;COUNT(Dong8),"",OFFSET(TH!K$1,SMALL(Dong8,ROWS($1:24)),))</f>
        <v>1121</v>
      </c>
      <c r="I34" s="63">
        <f t="shared" ca="1" si="41"/>
        <v>24</v>
      </c>
      <c r="J34" s="395">
        <f t="shared" ca="1" si="1"/>
        <v>0</v>
      </c>
      <c r="K34" s="395">
        <f t="shared" ca="1" si="2"/>
        <v>0</v>
      </c>
      <c r="L34" s="395">
        <f t="shared" ca="1" si="3"/>
        <v>0</v>
      </c>
      <c r="M34" s="395">
        <f t="shared" ca="1" si="4"/>
        <v>25000</v>
      </c>
      <c r="N34" s="395">
        <f t="shared" ca="1" si="5"/>
        <v>0</v>
      </c>
      <c r="O34" s="395">
        <f t="shared" ca="1" si="6"/>
        <v>0</v>
      </c>
      <c r="P34" s="395">
        <f t="shared" ca="1" si="7"/>
        <v>0</v>
      </c>
      <c r="Q34" s="395">
        <f t="shared" ca="1" si="8"/>
        <v>0</v>
      </c>
      <c r="R34" s="395">
        <f t="shared" ca="1" si="39"/>
        <v>0</v>
      </c>
      <c r="S34" s="395">
        <f t="shared" ca="1" si="40"/>
        <v>0</v>
      </c>
      <c r="T34" s="395">
        <f t="shared" ca="1" si="9"/>
        <v>0</v>
      </c>
      <c r="U34" s="395">
        <f t="shared" ca="1" si="10"/>
        <v>0</v>
      </c>
      <c r="V34" s="395">
        <f t="shared" ca="1" si="11"/>
        <v>0</v>
      </c>
      <c r="W34" s="395">
        <f t="shared" ca="1" si="12"/>
        <v>0</v>
      </c>
      <c r="X34" s="395">
        <f t="shared" ca="1" si="13"/>
        <v>0</v>
      </c>
      <c r="Y34" s="395">
        <f t="shared" ca="1" si="14"/>
        <v>0</v>
      </c>
      <c r="Z34" s="395">
        <f t="shared" ca="1" si="15"/>
        <v>0</v>
      </c>
      <c r="AA34" s="395">
        <f t="shared" ca="1" si="16"/>
        <v>0</v>
      </c>
      <c r="AB34" s="395">
        <f t="shared" ca="1" si="17"/>
        <v>0</v>
      </c>
      <c r="AC34" s="395">
        <f t="shared" ca="1" si="18"/>
        <v>0</v>
      </c>
      <c r="AD34" s="395">
        <f t="shared" ca="1" si="19"/>
        <v>0</v>
      </c>
      <c r="AE34" s="395">
        <f t="shared" ca="1" si="20"/>
        <v>0</v>
      </c>
      <c r="AF34" s="395">
        <f t="shared" ca="1" si="21"/>
        <v>0</v>
      </c>
      <c r="AG34" s="395">
        <f t="shared" ca="1" si="22"/>
        <v>0</v>
      </c>
      <c r="AH34" s="395">
        <f t="shared" ca="1" si="23"/>
        <v>0</v>
      </c>
      <c r="AI34" s="395">
        <f t="shared" ca="1" si="24"/>
        <v>0</v>
      </c>
      <c r="AJ34" s="395">
        <f t="shared" ca="1" si="25"/>
        <v>0</v>
      </c>
      <c r="AK34" s="395">
        <f t="shared" ca="1" si="26"/>
        <v>0</v>
      </c>
      <c r="AL34" s="395">
        <f t="shared" ca="1" si="27"/>
        <v>0</v>
      </c>
      <c r="AM34" s="395">
        <f t="shared" ca="1" si="28"/>
        <v>0</v>
      </c>
      <c r="AN34" s="395">
        <f t="shared" ca="1" si="29"/>
        <v>25000</v>
      </c>
      <c r="AO34" s="395">
        <f t="shared" ca="1" si="30"/>
        <v>0</v>
      </c>
      <c r="AP34" s="395">
        <f t="shared" ca="1" si="31"/>
        <v>0</v>
      </c>
      <c r="AQ34" s="395">
        <f t="shared" ca="1" si="32"/>
        <v>0</v>
      </c>
      <c r="AR34" s="395">
        <f t="shared" ca="1" si="33"/>
        <v>0</v>
      </c>
      <c r="AS34" s="395">
        <f t="shared" ca="1" si="34"/>
        <v>0</v>
      </c>
      <c r="AT34" s="395">
        <f t="shared" ca="1" si="35"/>
        <v>0</v>
      </c>
      <c r="AU34" s="395">
        <f t="shared" ca="1" si="36"/>
        <v>0</v>
      </c>
      <c r="AV34" s="395">
        <f t="shared" ca="1" si="37"/>
        <v>0</v>
      </c>
      <c r="AW34" s="395">
        <f t="shared" ca="1" si="38"/>
        <v>0</v>
      </c>
    </row>
    <row r="35" spans="1:49" s="392" customFormat="1" ht="12" customHeight="1">
      <c r="A35" s="63">
        <f t="array" aca="1" ref="A35" ca="1">IF(C35&lt;&gt;0,SUM(($C$11:C35&lt;&gt;0)*1),"")</f>
        <v>25</v>
      </c>
      <c r="B35" s="393">
        <f ca="1">IF(ROWS($1:25)&gt;COUNT(Dong8),"",OFFSET(TH!C$1,SMALL(Dong8,ROWS($1:25)),))</f>
        <v>41871</v>
      </c>
      <c r="C35" s="393" t="str">
        <f ca="1">IF(ROWS($1:25)&gt;COUNT(Dong8),"",OFFSET(TH!D$1,SMALL(Dong8,ROWS($1:25)),))</f>
        <v>GBN</v>
      </c>
      <c r="D35" s="393">
        <f ca="1">IF(ROWS($1:25)&gt;COUNT(Dong8),"",OFFSET(TH!E$1,SMALL(Dong8,ROWS($1:25)),))</f>
        <v>41871</v>
      </c>
      <c r="E35" s="443" t="str">
        <f ca="1">IF(ROWS($1:25)&gt;COUNT(Dong8),"",OFFSET(TH!F$1,SMALL(Dong8,ROWS($1:25)),))</f>
        <v xml:space="preserve">VAT Phí chuyển tiền </v>
      </c>
      <c r="F35" s="444">
        <f ca="1">IF(ROWS($1:25)&gt;COUNT(Dong8),"",OFFSET(TH!I$1,SMALL(Dong8,ROWS($1:25)),))</f>
        <v>2500</v>
      </c>
      <c r="G35" s="456" t="str">
        <f ca="1">IF(ROWS($1:25)&gt;COUNT(Dong8),"",OFFSET(TH!J$1,SMALL(Dong8,ROWS($1:25)),))</f>
        <v>1331</v>
      </c>
      <c r="H35" s="456" t="str">
        <f ca="1">IF(ROWS($1:25)&gt;COUNT(Dong8),"",OFFSET(TH!K$1,SMALL(Dong8,ROWS($1:25)),))</f>
        <v>1121</v>
      </c>
      <c r="I35" s="63">
        <f t="shared" ca="1" si="41"/>
        <v>25</v>
      </c>
      <c r="J35" s="395">
        <f t="shared" ca="1" si="1"/>
        <v>0</v>
      </c>
      <c r="K35" s="395">
        <f t="shared" ca="1" si="2"/>
        <v>0</v>
      </c>
      <c r="L35" s="395">
        <f t="shared" ca="1" si="3"/>
        <v>0</v>
      </c>
      <c r="M35" s="395">
        <f t="shared" ca="1" si="4"/>
        <v>2500</v>
      </c>
      <c r="N35" s="395">
        <f t="shared" ca="1" si="5"/>
        <v>2500</v>
      </c>
      <c r="O35" s="395">
        <f t="shared" ca="1" si="6"/>
        <v>0</v>
      </c>
      <c r="P35" s="395">
        <f t="shared" ca="1" si="7"/>
        <v>0</v>
      </c>
      <c r="Q35" s="395">
        <f t="shared" ca="1" si="8"/>
        <v>0</v>
      </c>
      <c r="R35" s="395">
        <f t="shared" ca="1" si="39"/>
        <v>0</v>
      </c>
      <c r="S35" s="395">
        <f t="shared" ca="1" si="40"/>
        <v>0</v>
      </c>
      <c r="T35" s="395">
        <f t="shared" ca="1" si="9"/>
        <v>0</v>
      </c>
      <c r="U35" s="395">
        <f t="shared" ca="1" si="10"/>
        <v>0</v>
      </c>
      <c r="V35" s="395">
        <f t="shared" ca="1" si="11"/>
        <v>0</v>
      </c>
      <c r="W35" s="395">
        <f t="shared" ca="1" si="12"/>
        <v>0</v>
      </c>
      <c r="X35" s="395">
        <f t="shared" ca="1" si="13"/>
        <v>0</v>
      </c>
      <c r="Y35" s="395">
        <f t="shared" ca="1" si="14"/>
        <v>0</v>
      </c>
      <c r="Z35" s="395">
        <f t="shared" ca="1" si="15"/>
        <v>0</v>
      </c>
      <c r="AA35" s="395">
        <f t="shared" ca="1" si="16"/>
        <v>0</v>
      </c>
      <c r="AB35" s="395">
        <f t="shared" ca="1" si="17"/>
        <v>0</v>
      </c>
      <c r="AC35" s="395">
        <f t="shared" ca="1" si="18"/>
        <v>0</v>
      </c>
      <c r="AD35" s="395">
        <f t="shared" ca="1" si="19"/>
        <v>0</v>
      </c>
      <c r="AE35" s="395">
        <f t="shared" ca="1" si="20"/>
        <v>0</v>
      </c>
      <c r="AF35" s="395">
        <f t="shared" ca="1" si="21"/>
        <v>0</v>
      </c>
      <c r="AG35" s="395">
        <f t="shared" ca="1" si="22"/>
        <v>0</v>
      </c>
      <c r="AH35" s="395">
        <f t="shared" ca="1" si="23"/>
        <v>0</v>
      </c>
      <c r="AI35" s="395">
        <f t="shared" ca="1" si="24"/>
        <v>0</v>
      </c>
      <c r="AJ35" s="395">
        <f t="shared" ca="1" si="25"/>
        <v>0</v>
      </c>
      <c r="AK35" s="395">
        <f t="shared" ca="1" si="26"/>
        <v>0</v>
      </c>
      <c r="AL35" s="395">
        <f t="shared" ca="1" si="27"/>
        <v>0</v>
      </c>
      <c r="AM35" s="395">
        <f t="shared" ca="1" si="28"/>
        <v>0</v>
      </c>
      <c r="AN35" s="395">
        <f t="shared" ca="1" si="29"/>
        <v>0</v>
      </c>
      <c r="AO35" s="395">
        <f t="shared" ca="1" si="30"/>
        <v>0</v>
      </c>
      <c r="AP35" s="395">
        <f t="shared" ca="1" si="31"/>
        <v>0</v>
      </c>
      <c r="AQ35" s="395">
        <f t="shared" ca="1" si="32"/>
        <v>0</v>
      </c>
      <c r="AR35" s="395">
        <f t="shared" ca="1" si="33"/>
        <v>0</v>
      </c>
      <c r="AS35" s="395">
        <f t="shared" ca="1" si="34"/>
        <v>0</v>
      </c>
      <c r="AT35" s="395">
        <f t="shared" ca="1" si="35"/>
        <v>0</v>
      </c>
      <c r="AU35" s="395">
        <f t="shared" ca="1" si="36"/>
        <v>0</v>
      </c>
      <c r="AV35" s="395">
        <f t="shared" ca="1" si="37"/>
        <v>0</v>
      </c>
      <c r="AW35" s="395">
        <f t="shared" ca="1" si="38"/>
        <v>0</v>
      </c>
    </row>
    <row r="36" spans="1:49" s="392" customFormat="1" ht="12" customHeight="1">
      <c r="A36" s="63">
        <f t="array" aca="1" ref="A36" ca="1">IF(C36&lt;&gt;0,SUM(($C$11:C36&lt;&gt;0)*1),"")</f>
        <v>26</v>
      </c>
      <c r="B36" s="393">
        <f ca="1">IF(ROWS($1:26)&gt;COUNT(Dong8),"",OFFSET(TH!C$1,SMALL(Dong8,ROWS($1:26)),))</f>
        <v>41871</v>
      </c>
      <c r="C36" s="393" t="str">
        <f ca="1">IF(ROWS($1:26)&gt;COUNT(Dong8),"",OFFSET(TH!D$1,SMALL(Dong8,ROWS($1:26)),))</f>
        <v>GBN</v>
      </c>
      <c r="D36" s="393">
        <f ca="1">IF(ROWS($1:26)&gt;COUNT(Dong8),"",OFFSET(TH!E$1,SMALL(Dong8,ROWS($1:26)),))</f>
        <v>41871</v>
      </c>
      <c r="E36" s="443" t="str">
        <f ca="1">IF(ROWS($1:26)&gt;COUNT(Dong8),"",OFFSET(TH!F$1,SMALL(Dong8,ROWS($1:26)),))</f>
        <v>Thanh toán hợp đồng giao khoán số 13/HDGK/2014</v>
      </c>
      <c r="F36" s="444">
        <f ca="1">IF(ROWS($1:26)&gt;COUNT(Dong8),"",OFFSET(TH!I$1,SMALL(Dong8,ROWS($1:26)),))</f>
        <v>80000000</v>
      </c>
      <c r="G36" s="456" t="str">
        <f ca="1">IF(ROWS($1:26)&gt;COUNT(Dong8),"",OFFSET(TH!J$1,SMALL(Dong8,ROWS($1:26)),))</f>
        <v>331</v>
      </c>
      <c r="H36" s="456" t="str">
        <f ca="1">IF(ROWS($1:26)&gt;COUNT(Dong8),"",OFFSET(TH!K$1,SMALL(Dong8,ROWS($1:26)),))</f>
        <v>1121</v>
      </c>
      <c r="I36" s="63">
        <f t="shared" ca="1" si="41"/>
        <v>26</v>
      </c>
      <c r="J36" s="395">
        <f t="shared" ca="1" si="1"/>
        <v>0</v>
      </c>
      <c r="K36" s="395">
        <f t="shared" ca="1" si="2"/>
        <v>0</v>
      </c>
      <c r="L36" s="395">
        <f t="shared" ca="1" si="3"/>
        <v>0</v>
      </c>
      <c r="M36" s="395">
        <f t="shared" ca="1" si="4"/>
        <v>80000000</v>
      </c>
      <c r="N36" s="395">
        <f t="shared" ca="1" si="5"/>
        <v>0</v>
      </c>
      <c r="O36" s="395">
        <f t="shared" ca="1" si="6"/>
        <v>0</v>
      </c>
      <c r="P36" s="395">
        <f t="shared" ca="1" si="7"/>
        <v>0</v>
      </c>
      <c r="Q36" s="395">
        <f t="shared" ca="1" si="8"/>
        <v>0</v>
      </c>
      <c r="R36" s="395">
        <f t="shared" ca="1" si="39"/>
        <v>0</v>
      </c>
      <c r="S36" s="395">
        <f t="shared" ca="1" si="40"/>
        <v>0</v>
      </c>
      <c r="T36" s="395">
        <f t="shared" ca="1" si="9"/>
        <v>80000000</v>
      </c>
      <c r="U36" s="395">
        <f t="shared" ca="1" si="10"/>
        <v>0</v>
      </c>
      <c r="V36" s="395">
        <f t="shared" ca="1" si="11"/>
        <v>0</v>
      </c>
      <c r="W36" s="395">
        <f t="shared" ca="1" si="12"/>
        <v>0</v>
      </c>
      <c r="X36" s="395">
        <f t="shared" ca="1" si="13"/>
        <v>0</v>
      </c>
      <c r="Y36" s="395">
        <f t="shared" ca="1" si="14"/>
        <v>0</v>
      </c>
      <c r="Z36" s="395">
        <f t="shared" ca="1" si="15"/>
        <v>0</v>
      </c>
      <c r="AA36" s="395">
        <f t="shared" ca="1" si="16"/>
        <v>0</v>
      </c>
      <c r="AB36" s="395">
        <f t="shared" ca="1" si="17"/>
        <v>0</v>
      </c>
      <c r="AC36" s="395">
        <f t="shared" ca="1" si="18"/>
        <v>0</v>
      </c>
      <c r="AD36" s="395">
        <f t="shared" ca="1" si="19"/>
        <v>0</v>
      </c>
      <c r="AE36" s="395">
        <f t="shared" ca="1" si="20"/>
        <v>0</v>
      </c>
      <c r="AF36" s="395">
        <f t="shared" ca="1" si="21"/>
        <v>0</v>
      </c>
      <c r="AG36" s="395">
        <f t="shared" ca="1" si="22"/>
        <v>0</v>
      </c>
      <c r="AH36" s="395">
        <f t="shared" ca="1" si="23"/>
        <v>0</v>
      </c>
      <c r="AI36" s="395">
        <f t="shared" ca="1" si="24"/>
        <v>0</v>
      </c>
      <c r="AJ36" s="395">
        <f t="shared" ca="1" si="25"/>
        <v>0</v>
      </c>
      <c r="AK36" s="395">
        <f t="shared" ca="1" si="26"/>
        <v>0</v>
      </c>
      <c r="AL36" s="395">
        <f t="shared" ca="1" si="27"/>
        <v>0</v>
      </c>
      <c r="AM36" s="395">
        <f t="shared" ca="1" si="28"/>
        <v>0</v>
      </c>
      <c r="AN36" s="395">
        <f t="shared" ca="1" si="29"/>
        <v>0</v>
      </c>
      <c r="AO36" s="395">
        <f t="shared" ca="1" si="30"/>
        <v>0</v>
      </c>
      <c r="AP36" s="395">
        <f t="shared" ca="1" si="31"/>
        <v>0</v>
      </c>
      <c r="AQ36" s="395">
        <f t="shared" ca="1" si="32"/>
        <v>0</v>
      </c>
      <c r="AR36" s="395">
        <f t="shared" ca="1" si="33"/>
        <v>0</v>
      </c>
      <c r="AS36" s="395">
        <f t="shared" ca="1" si="34"/>
        <v>0</v>
      </c>
      <c r="AT36" s="395">
        <f t="shared" ca="1" si="35"/>
        <v>0</v>
      </c>
      <c r="AU36" s="395">
        <f t="shared" ca="1" si="36"/>
        <v>0</v>
      </c>
      <c r="AV36" s="395">
        <f t="shared" ca="1" si="37"/>
        <v>0</v>
      </c>
      <c r="AW36" s="395">
        <f t="shared" ca="1" si="38"/>
        <v>0</v>
      </c>
    </row>
    <row r="37" spans="1:49" s="392" customFormat="1" ht="12" customHeight="1">
      <c r="A37" s="63">
        <f t="array" aca="1" ref="A37" ca="1">IF(C37&lt;&gt;0,SUM(($C$11:C37&lt;&gt;0)*1),"")</f>
        <v>27</v>
      </c>
      <c r="B37" s="393">
        <f ca="1">IF(ROWS($1:27)&gt;COUNT(Dong8),"",OFFSET(TH!C$1,SMALL(Dong8,ROWS($1:27)),))</f>
        <v>41871</v>
      </c>
      <c r="C37" s="393" t="str">
        <f ca="1">IF(ROWS($1:27)&gt;COUNT(Dong8),"",OFFSET(TH!D$1,SMALL(Dong8,ROWS($1:27)),))</f>
        <v>GBN</v>
      </c>
      <c r="D37" s="393">
        <f ca="1">IF(ROWS($1:27)&gt;COUNT(Dong8),"",OFFSET(TH!E$1,SMALL(Dong8,ROWS($1:27)),))</f>
        <v>41871</v>
      </c>
      <c r="E37" s="443" t="str">
        <f ca="1">IF(ROWS($1:27)&gt;COUNT(Dong8),"",OFFSET(TH!F$1,SMALL(Dong8,ROWS($1:27)),))</f>
        <v xml:space="preserve">Phí chuyển tiền </v>
      </c>
      <c r="F37" s="444">
        <f ca="1">IF(ROWS($1:27)&gt;COUNT(Dong8),"",OFFSET(TH!I$1,SMALL(Dong8,ROWS($1:27)),))</f>
        <v>24000</v>
      </c>
      <c r="G37" s="456" t="str">
        <f ca="1">IF(ROWS($1:27)&gt;COUNT(Dong8),"",OFFSET(TH!J$1,SMALL(Dong8,ROWS($1:27)),))</f>
        <v>642</v>
      </c>
      <c r="H37" s="456" t="str">
        <f ca="1">IF(ROWS($1:27)&gt;COUNT(Dong8),"",OFFSET(TH!K$1,SMALL(Dong8,ROWS($1:27)),))</f>
        <v>1121</v>
      </c>
      <c r="I37" s="63">
        <f t="shared" ca="1" si="41"/>
        <v>27</v>
      </c>
      <c r="J37" s="395">
        <f t="shared" ca="1" si="1"/>
        <v>0</v>
      </c>
      <c r="K37" s="395">
        <f t="shared" ca="1" si="2"/>
        <v>0</v>
      </c>
      <c r="L37" s="395">
        <f t="shared" ca="1" si="3"/>
        <v>0</v>
      </c>
      <c r="M37" s="395">
        <f t="shared" ca="1" si="4"/>
        <v>24000</v>
      </c>
      <c r="N37" s="395">
        <f t="shared" ca="1" si="5"/>
        <v>0</v>
      </c>
      <c r="O37" s="395">
        <f t="shared" ca="1" si="6"/>
        <v>0</v>
      </c>
      <c r="P37" s="395">
        <f t="shared" ca="1" si="7"/>
        <v>0</v>
      </c>
      <c r="Q37" s="395">
        <f t="shared" ca="1" si="8"/>
        <v>0</v>
      </c>
      <c r="R37" s="395">
        <f t="shared" ca="1" si="39"/>
        <v>0</v>
      </c>
      <c r="S37" s="395">
        <f t="shared" ca="1" si="40"/>
        <v>0</v>
      </c>
      <c r="T37" s="395">
        <f t="shared" ca="1" si="9"/>
        <v>0</v>
      </c>
      <c r="U37" s="395">
        <f t="shared" ca="1" si="10"/>
        <v>0</v>
      </c>
      <c r="V37" s="395">
        <f t="shared" ca="1" si="11"/>
        <v>0</v>
      </c>
      <c r="W37" s="395">
        <f t="shared" ca="1" si="12"/>
        <v>0</v>
      </c>
      <c r="X37" s="395">
        <f t="shared" ca="1" si="13"/>
        <v>0</v>
      </c>
      <c r="Y37" s="395">
        <f t="shared" ca="1" si="14"/>
        <v>0</v>
      </c>
      <c r="Z37" s="395">
        <f t="shared" ca="1" si="15"/>
        <v>0</v>
      </c>
      <c r="AA37" s="395">
        <f t="shared" ca="1" si="16"/>
        <v>0</v>
      </c>
      <c r="AB37" s="395">
        <f t="shared" ca="1" si="17"/>
        <v>0</v>
      </c>
      <c r="AC37" s="395">
        <f t="shared" ca="1" si="18"/>
        <v>0</v>
      </c>
      <c r="AD37" s="395">
        <f t="shared" ca="1" si="19"/>
        <v>0</v>
      </c>
      <c r="AE37" s="395">
        <f t="shared" ca="1" si="20"/>
        <v>0</v>
      </c>
      <c r="AF37" s="395">
        <f t="shared" ca="1" si="21"/>
        <v>0</v>
      </c>
      <c r="AG37" s="395">
        <f t="shared" ca="1" si="22"/>
        <v>0</v>
      </c>
      <c r="AH37" s="395">
        <f t="shared" ca="1" si="23"/>
        <v>0</v>
      </c>
      <c r="AI37" s="395">
        <f t="shared" ca="1" si="24"/>
        <v>0</v>
      </c>
      <c r="AJ37" s="395">
        <f t="shared" ca="1" si="25"/>
        <v>0</v>
      </c>
      <c r="AK37" s="395">
        <f t="shared" ca="1" si="26"/>
        <v>0</v>
      </c>
      <c r="AL37" s="395">
        <f t="shared" ca="1" si="27"/>
        <v>0</v>
      </c>
      <c r="AM37" s="395">
        <f t="shared" ca="1" si="28"/>
        <v>0</v>
      </c>
      <c r="AN37" s="395">
        <f t="shared" ca="1" si="29"/>
        <v>24000</v>
      </c>
      <c r="AO37" s="395">
        <f t="shared" ca="1" si="30"/>
        <v>0</v>
      </c>
      <c r="AP37" s="395">
        <f t="shared" ca="1" si="31"/>
        <v>0</v>
      </c>
      <c r="AQ37" s="395">
        <f t="shared" ca="1" si="32"/>
        <v>0</v>
      </c>
      <c r="AR37" s="395">
        <f t="shared" ca="1" si="33"/>
        <v>0</v>
      </c>
      <c r="AS37" s="395">
        <f t="shared" ca="1" si="34"/>
        <v>0</v>
      </c>
      <c r="AT37" s="395">
        <f t="shared" ca="1" si="35"/>
        <v>0</v>
      </c>
      <c r="AU37" s="395">
        <f t="shared" ca="1" si="36"/>
        <v>0</v>
      </c>
      <c r="AV37" s="395">
        <f t="shared" ca="1" si="37"/>
        <v>0</v>
      </c>
      <c r="AW37" s="395">
        <f t="shared" ca="1" si="38"/>
        <v>0</v>
      </c>
    </row>
    <row r="38" spans="1:49" s="392" customFormat="1" ht="12" customHeight="1">
      <c r="A38" s="63">
        <f t="array" aca="1" ref="A38" ca="1">IF(C38&lt;&gt;0,SUM(($C$11:C38&lt;&gt;0)*1),"")</f>
        <v>28</v>
      </c>
      <c r="B38" s="393">
        <f ca="1">IF(ROWS($1:28)&gt;COUNT(Dong8),"",OFFSET(TH!C$1,SMALL(Dong8,ROWS($1:28)),))</f>
        <v>41871</v>
      </c>
      <c r="C38" s="393" t="str">
        <f ca="1">IF(ROWS($1:28)&gt;COUNT(Dong8),"",OFFSET(TH!D$1,SMALL(Dong8,ROWS($1:28)),))</f>
        <v>GBN</v>
      </c>
      <c r="D38" s="393">
        <f ca="1">IF(ROWS($1:28)&gt;COUNT(Dong8),"",OFFSET(TH!E$1,SMALL(Dong8,ROWS($1:28)),))</f>
        <v>41871</v>
      </c>
      <c r="E38" s="443" t="str">
        <f ca="1">IF(ROWS($1:28)&gt;COUNT(Dong8),"",OFFSET(TH!F$1,SMALL(Dong8,ROWS($1:28)),))</f>
        <v xml:space="preserve">VAT Phí chuyển tiền </v>
      </c>
      <c r="F38" s="444">
        <f ca="1">IF(ROWS($1:28)&gt;COUNT(Dong8),"",OFFSET(TH!I$1,SMALL(Dong8,ROWS($1:28)),))</f>
        <v>2400</v>
      </c>
      <c r="G38" s="456" t="str">
        <f ca="1">IF(ROWS($1:28)&gt;COUNT(Dong8),"",OFFSET(TH!J$1,SMALL(Dong8,ROWS($1:28)),))</f>
        <v>1331</v>
      </c>
      <c r="H38" s="456" t="str">
        <f ca="1">IF(ROWS($1:28)&gt;COUNT(Dong8),"",OFFSET(TH!K$1,SMALL(Dong8,ROWS($1:28)),))</f>
        <v>1121</v>
      </c>
      <c r="I38" s="63">
        <f t="shared" ca="1" si="41"/>
        <v>28</v>
      </c>
      <c r="J38" s="395">
        <f t="shared" ca="1" si="1"/>
        <v>0</v>
      </c>
      <c r="K38" s="395">
        <f t="shared" ca="1" si="2"/>
        <v>0</v>
      </c>
      <c r="L38" s="395">
        <f t="shared" ca="1" si="3"/>
        <v>0</v>
      </c>
      <c r="M38" s="395">
        <f t="shared" ca="1" si="4"/>
        <v>2400</v>
      </c>
      <c r="N38" s="395">
        <f t="shared" ca="1" si="5"/>
        <v>2400</v>
      </c>
      <c r="O38" s="395">
        <f t="shared" ca="1" si="6"/>
        <v>0</v>
      </c>
      <c r="P38" s="395">
        <f t="shared" ca="1" si="7"/>
        <v>0</v>
      </c>
      <c r="Q38" s="395">
        <f t="shared" ca="1" si="8"/>
        <v>0</v>
      </c>
      <c r="R38" s="395">
        <f t="shared" ca="1" si="39"/>
        <v>0</v>
      </c>
      <c r="S38" s="395">
        <f t="shared" ca="1" si="40"/>
        <v>0</v>
      </c>
      <c r="T38" s="395">
        <f t="shared" ca="1" si="9"/>
        <v>0</v>
      </c>
      <c r="U38" s="395">
        <f t="shared" ca="1" si="10"/>
        <v>0</v>
      </c>
      <c r="V38" s="395">
        <f t="shared" ca="1" si="11"/>
        <v>0</v>
      </c>
      <c r="W38" s="395">
        <f t="shared" ca="1" si="12"/>
        <v>0</v>
      </c>
      <c r="X38" s="395">
        <f t="shared" ca="1" si="13"/>
        <v>0</v>
      </c>
      <c r="Y38" s="395">
        <f t="shared" ca="1" si="14"/>
        <v>0</v>
      </c>
      <c r="Z38" s="395">
        <f t="shared" ca="1" si="15"/>
        <v>0</v>
      </c>
      <c r="AA38" s="395">
        <f t="shared" ca="1" si="16"/>
        <v>0</v>
      </c>
      <c r="AB38" s="395">
        <f t="shared" ca="1" si="17"/>
        <v>0</v>
      </c>
      <c r="AC38" s="395">
        <f t="shared" ca="1" si="18"/>
        <v>0</v>
      </c>
      <c r="AD38" s="395">
        <f t="shared" ca="1" si="19"/>
        <v>0</v>
      </c>
      <c r="AE38" s="395">
        <f t="shared" ca="1" si="20"/>
        <v>0</v>
      </c>
      <c r="AF38" s="395">
        <f t="shared" ca="1" si="21"/>
        <v>0</v>
      </c>
      <c r="AG38" s="395">
        <f t="shared" ca="1" si="22"/>
        <v>0</v>
      </c>
      <c r="AH38" s="395">
        <f t="shared" ca="1" si="23"/>
        <v>0</v>
      </c>
      <c r="AI38" s="395">
        <f t="shared" ca="1" si="24"/>
        <v>0</v>
      </c>
      <c r="AJ38" s="395">
        <f t="shared" ca="1" si="25"/>
        <v>0</v>
      </c>
      <c r="AK38" s="395">
        <f t="shared" ca="1" si="26"/>
        <v>0</v>
      </c>
      <c r="AL38" s="395">
        <f t="shared" ca="1" si="27"/>
        <v>0</v>
      </c>
      <c r="AM38" s="395">
        <f t="shared" ca="1" si="28"/>
        <v>0</v>
      </c>
      <c r="AN38" s="395">
        <f t="shared" ca="1" si="29"/>
        <v>0</v>
      </c>
      <c r="AO38" s="395">
        <f t="shared" ca="1" si="30"/>
        <v>0</v>
      </c>
      <c r="AP38" s="395">
        <f t="shared" ca="1" si="31"/>
        <v>0</v>
      </c>
      <c r="AQ38" s="395">
        <f t="shared" ca="1" si="32"/>
        <v>0</v>
      </c>
      <c r="AR38" s="395">
        <f t="shared" ca="1" si="33"/>
        <v>0</v>
      </c>
      <c r="AS38" s="395">
        <f t="shared" ca="1" si="34"/>
        <v>0</v>
      </c>
      <c r="AT38" s="395">
        <f t="shared" ca="1" si="35"/>
        <v>0</v>
      </c>
      <c r="AU38" s="395">
        <f t="shared" ca="1" si="36"/>
        <v>0</v>
      </c>
      <c r="AV38" s="395">
        <f t="shared" ca="1" si="37"/>
        <v>0</v>
      </c>
      <c r="AW38" s="395">
        <f t="shared" ca="1" si="38"/>
        <v>0</v>
      </c>
    </row>
    <row r="39" spans="1:49" s="392" customFormat="1" ht="12" customHeight="1">
      <c r="A39" s="63">
        <f t="array" aca="1" ref="A39" ca="1">IF(C39&lt;&gt;0,SUM(($C$11:C39&lt;&gt;0)*1),"")</f>
        <v>29</v>
      </c>
      <c r="B39" s="393">
        <f ca="1">IF(ROWS($1:29)&gt;COUNT(Dong8),"",OFFSET(TH!C$1,SMALL(Dong8,ROWS($1:29)),))</f>
        <v>41871</v>
      </c>
      <c r="C39" s="393" t="str">
        <f ca="1">IF(ROWS($1:29)&gt;COUNT(Dong8),"",OFFSET(TH!D$1,SMALL(Dong8,ROWS($1:29)),))</f>
        <v>GBN</v>
      </c>
      <c r="D39" s="393">
        <f ca="1">IF(ROWS($1:29)&gt;COUNT(Dong8),"",OFFSET(TH!E$1,SMALL(Dong8,ROWS($1:29)),))</f>
        <v>41871</v>
      </c>
      <c r="E39" s="443" t="str">
        <f ca="1">IF(ROWS($1:29)&gt;COUNT(Dong8),"",OFFSET(TH!F$1,SMALL(Dong8,ROWS($1:29)),))</f>
        <v>Ứng tiền cọc betong Tân Tài</v>
      </c>
      <c r="F39" s="444">
        <f ca="1">IF(ROWS($1:29)&gt;COUNT(Dong8),"",OFFSET(TH!I$1,SMALL(Dong8,ROWS($1:29)),))</f>
        <v>50000000</v>
      </c>
      <c r="G39" s="456" t="str">
        <f ca="1">IF(ROWS($1:29)&gt;COUNT(Dong8),"",OFFSET(TH!J$1,SMALL(Dong8,ROWS($1:29)),))</f>
        <v>331</v>
      </c>
      <c r="H39" s="456" t="str">
        <f ca="1">IF(ROWS($1:29)&gt;COUNT(Dong8),"",OFFSET(TH!K$1,SMALL(Dong8,ROWS($1:29)),))</f>
        <v>1121</v>
      </c>
      <c r="I39" s="63">
        <f t="shared" ca="1" si="41"/>
        <v>29</v>
      </c>
      <c r="J39" s="395">
        <f t="shared" ca="1" si="1"/>
        <v>0</v>
      </c>
      <c r="K39" s="395">
        <f t="shared" ca="1" si="2"/>
        <v>0</v>
      </c>
      <c r="L39" s="395">
        <f t="shared" ca="1" si="3"/>
        <v>0</v>
      </c>
      <c r="M39" s="395">
        <f t="shared" ca="1" si="4"/>
        <v>50000000</v>
      </c>
      <c r="N39" s="395">
        <f t="shared" ca="1" si="5"/>
        <v>0</v>
      </c>
      <c r="O39" s="395">
        <f t="shared" ca="1" si="6"/>
        <v>0</v>
      </c>
      <c r="P39" s="395">
        <f t="shared" ca="1" si="7"/>
        <v>0</v>
      </c>
      <c r="Q39" s="395">
        <f t="shared" ca="1" si="8"/>
        <v>0</v>
      </c>
      <c r="R39" s="395">
        <f t="shared" ca="1" si="39"/>
        <v>0</v>
      </c>
      <c r="S39" s="395">
        <f t="shared" ca="1" si="40"/>
        <v>0</v>
      </c>
      <c r="T39" s="395">
        <f t="shared" ca="1" si="9"/>
        <v>50000000</v>
      </c>
      <c r="U39" s="395">
        <f t="shared" ca="1" si="10"/>
        <v>0</v>
      </c>
      <c r="V39" s="395">
        <f t="shared" ca="1" si="11"/>
        <v>0</v>
      </c>
      <c r="W39" s="395">
        <f t="shared" ca="1" si="12"/>
        <v>0</v>
      </c>
      <c r="X39" s="395">
        <f t="shared" ca="1" si="13"/>
        <v>0</v>
      </c>
      <c r="Y39" s="395">
        <f t="shared" ca="1" si="14"/>
        <v>0</v>
      </c>
      <c r="Z39" s="395">
        <f t="shared" ca="1" si="15"/>
        <v>0</v>
      </c>
      <c r="AA39" s="395">
        <f t="shared" ca="1" si="16"/>
        <v>0</v>
      </c>
      <c r="AB39" s="395">
        <f t="shared" ca="1" si="17"/>
        <v>0</v>
      </c>
      <c r="AC39" s="395">
        <f t="shared" ca="1" si="18"/>
        <v>0</v>
      </c>
      <c r="AD39" s="395">
        <f t="shared" ca="1" si="19"/>
        <v>0</v>
      </c>
      <c r="AE39" s="395">
        <f t="shared" ca="1" si="20"/>
        <v>0</v>
      </c>
      <c r="AF39" s="395">
        <f t="shared" ca="1" si="21"/>
        <v>0</v>
      </c>
      <c r="AG39" s="395">
        <f t="shared" ca="1" si="22"/>
        <v>0</v>
      </c>
      <c r="AH39" s="395">
        <f t="shared" ca="1" si="23"/>
        <v>0</v>
      </c>
      <c r="AI39" s="395">
        <f t="shared" ca="1" si="24"/>
        <v>0</v>
      </c>
      <c r="AJ39" s="395">
        <f t="shared" ca="1" si="25"/>
        <v>0</v>
      </c>
      <c r="AK39" s="395">
        <f t="shared" ca="1" si="26"/>
        <v>0</v>
      </c>
      <c r="AL39" s="395">
        <f t="shared" ca="1" si="27"/>
        <v>0</v>
      </c>
      <c r="AM39" s="395">
        <f t="shared" ca="1" si="28"/>
        <v>0</v>
      </c>
      <c r="AN39" s="395">
        <f t="shared" ca="1" si="29"/>
        <v>0</v>
      </c>
      <c r="AO39" s="395">
        <f t="shared" ca="1" si="30"/>
        <v>0</v>
      </c>
      <c r="AP39" s="395">
        <f t="shared" ca="1" si="31"/>
        <v>0</v>
      </c>
      <c r="AQ39" s="395">
        <f t="shared" ca="1" si="32"/>
        <v>0</v>
      </c>
      <c r="AR39" s="395">
        <f t="shared" ca="1" si="33"/>
        <v>0</v>
      </c>
      <c r="AS39" s="395">
        <f t="shared" ca="1" si="34"/>
        <v>0</v>
      </c>
      <c r="AT39" s="395">
        <f t="shared" ca="1" si="35"/>
        <v>0</v>
      </c>
      <c r="AU39" s="395">
        <f t="shared" ca="1" si="36"/>
        <v>0</v>
      </c>
      <c r="AV39" s="395">
        <f t="shared" ca="1" si="37"/>
        <v>0</v>
      </c>
      <c r="AW39" s="395">
        <f t="shared" ca="1" si="38"/>
        <v>0</v>
      </c>
    </row>
    <row r="40" spans="1:49" s="392" customFormat="1" ht="12" customHeight="1">
      <c r="A40" s="63">
        <f t="array" aca="1" ref="A40" ca="1">IF(C40&lt;&gt;0,SUM(($C$11:C40&lt;&gt;0)*1),"")</f>
        <v>30</v>
      </c>
      <c r="B40" s="393">
        <f ca="1">IF(ROWS($1:30)&gt;COUNT(Dong8),"",OFFSET(TH!C$1,SMALL(Dong8,ROWS($1:30)),))</f>
        <v>41871</v>
      </c>
      <c r="C40" s="393" t="str">
        <f ca="1">IF(ROWS($1:30)&gt;COUNT(Dong8),"",OFFSET(TH!D$1,SMALL(Dong8,ROWS($1:30)),))</f>
        <v>GBN</v>
      </c>
      <c r="D40" s="393">
        <f ca="1">IF(ROWS($1:30)&gt;COUNT(Dong8),"",OFFSET(TH!E$1,SMALL(Dong8,ROWS($1:30)),))</f>
        <v>41871</v>
      </c>
      <c r="E40" s="443" t="str">
        <f ca="1">IF(ROWS($1:30)&gt;COUNT(Dong8),"",OFFSET(TH!F$1,SMALL(Dong8,ROWS($1:30)),))</f>
        <v xml:space="preserve">Phí chuyển tiền </v>
      </c>
      <c r="F40" s="444">
        <f ca="1">IF(ROWS($1:30)&gt;COUNT(Dong8),"",OFFSET(TH!I$1,SMALL(Dong8,ROWS($1:30)),))</f>
        <v>25000</v>
      </c>
      <c r="G40" s="456" t="str">
        <f ca="1">IF(ROWS($1:30)&gt;COUNT(Dong8),"",OFFSET(TH!J$1,SMALL(Dong8,ROWS($1:30)),))</f>
        <v>642</v>
      </c>
      <c r="H40" s="456" t="str">
        <f ca="1">IF(ROWS($1:30)&gt;COUNT(Dong8),"",OFFSET(TH!K$1,SMALL(Dong8,ROWS($1:30)),))</f>
        <v>1121</v>
      </c>
      <c r="I40" s="63">
        <f t="shared" ca="1" si="41"/>
        <v>30</v>
      </c>
      <c r="J40" s="395">
        <f t="shared" ca="1" si="1"/>
        <v>0</v>
      </c>
      <c r="K40" s="395">
        <f t="shared" ca="1" si="2"/>
        <v>0</v>
      </c>
      <c r="L40" s="395">
        <f t="shared" ca="1" si="3"/>
        <v>0</v>
      </c>
      <c r="M40" s="395">
        <f t="shared" ca="1" si="4"/>
        <v>25000</v>
      </c>
      <c r="N40" s="395">
        <f t="shared" ca="1" si="5"/>
        <v>0</v>
      </c>
      <c r="O40" s="395">
        <f t="shared" ca="1" si="6"/>
        <v>0</v>
      </c>
      <c r="P40" s="395">
        <f t="shared" ca="1" si="7"/>
        <v>0</v>
      </c>
      <c r="Q40" s="395">
        <f t="shared" ca="1" si="8"/>
        <v>0</v>
      </c>
      <c r="R40" s="395">
        <f t="shared" ca="1" si="39"/>
        <v>0</v>
      </c>
      <c r="S40" s="395">
        <f t="shared" ca="1" si="40"/>
        <v>0</v>
      </c>
      <c r="T40" s="395">
        <f t="shared" ca="1" si="9"/>
        <v>0</v>
      </c>
      <c r="U40" s="395">
        <f t="shared" ca="1" si="10"/>
        <v>0</v>
      </c>
      <c r="V40" s="395">
        <f t="shared" ca="1" si="11"/>
        <v>0</v>
      </c>
      <c r="W40" s="395">
        <f t="shared" ca="1" si="12"/>
        <v>0</v>
      </c>
      <c r="X40" s="395">
        <f t="shared" ca="1" si="13"/>
        <v>0</v>
      </c>
      <c r="Y40" s="395">
        <f t="shared" ca="1" si="14"/>
        <v>0</v>
      </c>
      <c r="Z40" s="395">
        <f t="shared" ca="1" si="15"/>
        <v>0</v>
      </c>
      <c r="AA40" s="395">
        <f t="shared" ca="1" si="16"/>
        <v>0</v>
      </c>
      <c r="AB40" s="395">
        <f t="shared" ca="1" si="17"/>
        <v>0</v>
      </c>
      <c r="AC40" s="395">
        <f t="shared" ca="1" si="18"/>
        <v>0</v>
      </c>
      <c r="AD40" s="395">
        <f t="shared" ca="1" si="19"/>
        <v>0</v>
      </c>
      <c r="AE40" s="395">
        <f t="shared" ca="1" si="20"/>
        <v>0</v>
      </c>
      <c r="AF40" s="395">
        <f t="shared" ca="1" si="21"/>
        <v>0</v>
      </c>
      <c r="AG40" s="395">
        <f t="shared" ca="1" si="22"/>
        <v>0</v>
      </c>
      <c r="AH40" s="395">
        <f t="shared" ca="1" si="23"/>
        <v>0</v>
      </c>
      <c r="AI40" s="395">
        <f t="shared" ca="1" si="24"/>
        <v>0</v>
      </c>
      <c r="AJ40" s="395">
        <f t="shared" ca="1" si="25"/>
        <v>0</v>
      </c>
      <c r="AK40" s="395">
        <f t="shared" ca="1" si="26"/>
        <v>0</v>
      </c>
      <c r="AL40" s="395">
        <f t="shared" ca="1" si="27"/>
        <v>0</v>
      </c>
      <c r="AM40" s="395">
        <f t="shared" ca="1" si="28"/>
        <v>0</v>
      </c>
      <c r="AN40" s="395">
        <f t="shared" ca="1" si="29"/>
        <v>25000</v>
      </c>
      <c r="AO40" s="395">
        <f t="shared" ca="1" si="30"/>
        <v>0</v>
      </c>
      <c r="AP40" s="395">
        <f t="shared" ca="1" si="31"/>
        <v>0</v>
      </c>
      <c r="AQ40" s="395">
        <f t="shared" ca="1" si="32"/>
        <v>0</v>
      </c>
      <c r="AR40" s="395">
        <f t="shared" ca="1" si="33"/>
        <v>0</v>
      </c>
      <c r="AS40" s="395">
        <f t="shared" ca="1" si="34"/>
        <v>0</v>
      </c>
      <c r="AT40" s="395">
        <f t="shared" ca="1" si="35"/>
        <v>0</v>
      </c>
      <c r="AU40" s="395">
        <f t="shared" ca="1" si="36"/>
        <v>0</v>
      </c>
      <c r="AV40" s="395">
        <f t="shared" ca="1" si="37"/>
        <v>0</v>
      </c>
      <c r="AW40" s="395">
        <f t="shared" ca="1" si="38"/>
        <v>0</v>
      </c>
    </row>
    <row r="41" spans="1:49" s="392" customFormat="1" ht="12" customHeight="1">
      <c r="A41" s="63">
        <f t="array" aca="1" ref="A41" ca="1">IF(C41&lt;&gt;0,SUM(($C$11:C41&lt;&gt;0)*1),"")</f>
        <v>31</v>
      </c>
      <c r="B41" s="393">
        <f ca="1">IF(ROWS($1:31)&gt;COUNT(Dong8),"",OFFSET(TH!C$1,SMALL(Dong8,ROWS($1:31)),))</f>
        <v>41871</v>
      </c>
      <c r="C41" s="393" t="str">
        <f ca="1">IF(ROWS($1:31)&gt;COUNT(Dong8),"",OFFSET(TH!D$1,SMALL(Dong8,ROWS($1:31)),))</f>
        <v>GBN</v>
      </c>
      <c r="D41" s="393">
        <f ca="1">IF(ROWS($1:31)&gt;COUNT(Dong8),"",OFFSET(TH!E$1,SMALL(Dong8,ROWS($1:31)),))</f>
        <v>41871</v>
      </c>
      <c r="E41" s="443" t="str">
        <f ca="1">IF(ROWS($1:31)&gt;COUNT(Dong8),"",OFFSET(TH!F$1,SMALL(Dong8,ROWS($1:31)),))</f>
        <v xml:space="preserve">VAT Phí chuyển tiền </v>
      </c>
      <c r="F41" s="444">
        <f ca="1">IF(ROWS($1:31)&gt;COUNT(Dong8),"",OFFSET(TH!I$1,SMALL(Dong8,ROWS($1:31)),))</f>
        <v>2500</v>
      </c>
      <c r="G41" s="456" t="str">
        <f ca="1">IF(ROWS($1:31)&gt;COUNT(Dong8),"",OFFSET(TH!J$1,SMALL(Dong8,ROWS($1:31)),))</f>
        <v>1331</v>
      </c>
      <c r="H41" s="456" t="str">
        <f ca="1">IF(ROWS($1:31)&gt;COUNT(Dong8),"",OFFSET(TH!K$1,SMALL(Dong8,ROWS($1:31)),))</f>
        <v>1121</v>
      </c>
      <c r="I41" s="63">
        <f t="shared" ca="1" si="41"/>
        <v>31</v>
      </c>
      <c r="J41" s="395">
        <f t="shared" ca="1" si="1"/>
        <v>0</v>
      </c>
      <c r="K41" s="395">
        <f t="shared" ca="1" si="2"/>
        <v>0</v>
      </c>
      <c r="L41" s="395">
        <f t="shared" ca="1" si="3"/>
        <v>0</v>
      </c>
      <c r="M41" s="395">
        <f t="shared" ca="1" si="4"/>
        <v>2500</v>
      </c>
      <c r="N41" s="395">
        <f t="shared" ca="1" si="5"/>
        <v>2500</v>
      </c>
      <c r="O41" s="395">
        <f t="shared" ca="1" si="6"/>
        <v>0</v>
      </c>
      <c r="P41" s="395">
        <f t="shared" ca="1" si="7"/>
        <v>0</v>
      </c>
      <c r="Q41" s="395">
        <f t="shared" ca="1" si="8"/>
        <v>0</v>
      </c>
      <c r="R41" s="395">
        <f t="shared" ca="1" si="39"/>
        <v>0</v>
      </c>
      <c r="S41" s="395">
        <f t="shared" ca="1" si="40"/>
        <v>0</v>
      </c>
      <c r="T41" s="395">
        <f t="shared" ca="1" si="9"/>
        <v>0</v>
      </c>
      <c r="U41" s="395">
        <f t="shared" ca="1" si="10"/>
        <v>0</v>
      </c>
      <c r="V41" s="395">
        <f t="shared" ca="1" si="11"/>
        <v>0</v>
      </c>
      <c r="W41" s="395">
        <f t="shared" ca="1" si="12"/>
        <v>0</v>
      </c>
      <c r="X41" s="395">
        <f t="shared" ca="1" si="13"/>
        <v>0</v>
      </c>
      <c r="Y41" s="395">
        <f t="shared" ca="1" si="14"/>
        <v>0</v>
      </c>
      <c r="Z41" s="395">
        <f t="shared" ca="1" si="15"/>
        <v>0</v>
      </c>
      <c r="AA41" s="395">
        <f t="shared" ca="1" si="16"/>
        <v>0</v>
      </c>
      <c r="AB41" s="395">
        <f t="shared" ca="1" si="17"/>
        <v>0</v>
      </c>
      <c r="AC41" s="395">
        <f t="shared" ca="1" si="18"/>
        <v>0</v>
      </c>
      <c r="AD41" s="395">
        <f t="shared" ca="1" si="19"/>
        <v>0</v>
      </c>
      <c r="AE41" s="395">
        <f t="shared" ca="1" si="20"/>
        <v>0</v>
      </c>
      <c r="AF41" s="395">
        <f t="shared" ca="1" si="21"/>
        <v>0</v>
      </c>
      <c r="AG41" s="395">
        <f t="shared" ca="1" si="22"/>
        <v>0</v>
      </c>
      <c r="AH41" s="395">
        <f t="shared" ca="1" si="23"/>
        <v>0</v>
      </c>
      <c r="AI41" s="395">
        <f t="shared" ca="1" si="24"/>
        <v>0</v>
      </c>
      <c r="AJ41" s="395">
        <f t="shared" ca="1" si="25"/>
        <v>0</v>
      </c>
      <c r="AK41" s="395">
        <f t="shared" ca="1" si="26"/>
        <v>0</v>
      </c>
      <c r="AL41" s="395">
        <f t="shared" ca="1" si="27"/>
        <v>0</v>
      </c>
      <c r="AM41" s="395">
        <f t="shared" ca="1" si="28"/>
        <v>0</v>
      </c>
      <c r="AN41" s="395">
        <f t="shared" ca="1" si="29"/>
        <v>0</v>
      </c>
      <c r="AO41" s="395">
        <f t="shared" ca="1" si="30"/>
        <v>0</v>
      </c>
      <c r="AP41" s="395">
        <f t="shared" ca="1" si="31"/>
        <v>0</v>
      </c>
      <c r="AQ41" s="395">
        <f t="shared" ca="1" si="32"/>
        <v>0</v>
      </c>
      <c r="AR41" s="395">
        <f t="shared" ca="1" si="33"/>
        <v>0</v>
      </c>
      <c r="AS41" s="395">
        <f t="shared" ca="1" si="34"/>
        <v>0</v>
      </c>
      <c r="AT41" s="395">
        <f t="shared" ca="1" si="35"/>
        <v>0</v>
      </c>
      <c r="AU41" s="395">
        <f t="shared" ca="1" si="36"/>
        <v>0</v>
      </c>
      <c r="AV41" s="395">
        <f t="shared" ca="1" si="37"/>
        <v>0</v>
      </c>
      <c r="AW41" s="395">
        <f t="shared" ca="1" si="38"/>
        <v>0</v>
      </c>
    </row>
    <row r="42" spans="1:49" s="392" customFormat="1" ht="12" customHeight="1">
      <c r="A42" s="63">
        <f t="array" aca="1" ref="A42" ca="1">IF(C42&lt;&gt;0,SUM(($C$11:C42&lt;&gt;0)*1),"")</f>
        <v>32</v>
      </c>
      <c r="B42" s="393">
        <f ca="1">IF(ROWS($1:32)&gt;COUNT(Dong8),"",OFFSET(TH!C$1,SMALL(Dong8,ROWS($1:32)),))</f>
        <v>41871</v>
      </c>
      <c r="C42" s="393" t="str">
        <f ca="1">IF(ROWS($1:32)&gt;COUNT(Dong8),"",OFFSET(TH!D$1,SMALL(Dong8,ROWS($1:32)),))</f>
        <v>GBN</v>
      </c>
      <c r="D42" s="393">
        <f ca="1">IF(ROWS($1:32)&gt;COUNT(Dong8),"",OFFSET(TH!E$1,SMALL(Dong8,ROWS($1:32)),))</f>
        <v>41871</v>
      </c>
      <c r="E42" s="443" t="str">
        <f ca="1">IF(ROWS($1:32)&gt;COUNT(Dong8),"",OFFSET(TH!F$1,SMALL(Dong8,ROWS($1:32)),))</f>
        <v>Ứng tiền cọc betong IBS</v>
      </c>
      <c r="F42" s="444">
        <f ca="1">IF(ROWS($1:32)&gt;COUNT(Dong8),"",OFFSET(TH!I$1,SMALL(Dong8,ROWS($1:32)),))</f>
        <v>378779940</v>
      </c>
      <c r="G42" s="456" t="str">
        <f ca="1">IF(ROWS($1:32)&gt;COUNT(Dong8),"",OFFSET(TH!J$1,SMALL(Dong8,ROWS($1:32)),))</f>
        <v>331</v>
      </c>
      <c r="H42" s="456" t="str">
        <f ca="1">IF(ROWS($1:32)&gt;COUNT(Dong8),"",OFFSET(TH!K$1,SMALL(Dong8,ROWS($1:32)),))</f>
        <v>1121</v>
      </c>
      <c r="I42" s="63">
        <f t="shared" ca="1" si="41"/>
        <v>32</v>
      </c>
      <c r="J42" s="395">
        <f t="shared" ca="1" si="1"/>
        <v>0</v>
      </c>
      <c r="K42" s="395">
        <f t="shared" ca="1" si="2"/>
        <v>0</v>
      </c>
      <c r="L42" s="395">
        <f t="shared" ca="1" si="3"/>
        <v>0</v>
      </c>
      <c r="M42" s="395">
        <f t="shared" ca="1" si="4"/>
        <v>378779940</v>
      </c>
      <c r="N42" s="395">
        <f t="shared" ca="1" si="5"/>
        <v>0</v>
      </c>
      <c r="O42" s="395">
        <f t="shared" ca="1" si="6"/>
        <v>0</v>
      </c>
      <c r="P42" s="395">
        <f t="shared" ca="1" si="7"/>
        <v>0</v>
      </c>
      <c r="Q42" s="395">
        <f t="shared" ca="1" si="8"/>
        <v>0</v>
      </c>
      <c r="R42" s="395">
        <f t="shared" ca="1" si="39"/>
        <v>0</v>
      </c>
      <c r="S42" s="395">
        <f t="shared" ca="1" si="40"/>
        <v>0</v>
      </c>
      <c r="T42" s="395">
        <f t="shared" ca="1" si="9"/>
        <v>378779940</v>
      </c>
      <c r="U42" s="395">
        <f t="shared" ca="1" si="10"/>
        <v>0</v>
      </c>
      <c r="V42" s="395">
        <f t="shared" ca="1" si="11"/>
        <v>0</v>
      </c>
      <c r="W42" s="395">
        <f t="shared" ca="1" si="12"/>
        <v>0</v>
      </c>
      <c r="X42" s="395">
        <f t="shared" ca="1" si="13"/>
        <v>0</v>
      </c>
      <c r="Y42" s="395">
        <f t="shared" ca="1" si="14"/>
        <v>0</v>
      </c>
      <c r="Z42" s="395">
        <f t="shared" ca="1" si="15"/>
        <v>0</v>
      </c>
      <c r="AA42" s="395">
        <f t="shared" ca="1" si="16"/>
        <v>0</v>
      </c>
      <c r="AB42" s="395">
        <f t="shared" ca="1" si="17"/>
        <v>0</v>
      </c>
      <c r="AC42" s="395">
        <f t="shared" ca="1" si="18"/>
        <v>0</v>
      </c>
      <c r="AD42" s="395">
        <f t="shared" ca="1" si="19"/>
        <v>0</v>
      </c>
      <c r="AE42" s="395">
        <f t="shared" ca="1" si="20"/>
        <v>0</v>
      </c>
      <c r="AF42" s="395">
        <f t="shared" ca="1" si="21"/>
        <v>0</v>
      </c>
      <c r="AG42" s="395">
        <f t="shared" ca="1" si="22"/>
        <v>0</v>
      </c>
      <c r="AH42" s="395">
        <f t="shared" ca="1" si="23"/>
        <v>0</v>
      </c>
      <c r="AI42" s="395">
        <f t="shared" ca="1" si="24"/>
        <v>0</v>
      </c>
      <c r="AJ42" s="395">
        <f t="shared" ca="1" si="25"/>
        <v>0</v>
      </c>
      <c r="AK42" s="395">
        <f t="shared" ca="1" si="26"/>
        <v>0</v>
      </c>
      <c r="AL42" s="395">
        <f t="shared" ca="1" si="27"/>
        <v>0</v>
      </c>
      <c r="AM42" s="395">
        <f t="shared" ca="1" si="28"/>
        <v>0</v>
      </c>
      <c r="AN42" s="395">
        <f t="shared" ca="1" si="29"/>
        <v>0</v>
      </c>
      <c r="AO42" s="395">
        <f t="shared" ca="1" si="30"/>
        <v>0</v>
      </c>
      <c r="AP42" s="395">
        <f t="shared" ca="1" si="31"/>
        <v>0</v>
      </c>
      <c r="AQ42" s="395">
        <f t="shared" ca="1" si="32"/>
        <v>0</v>
      </c>
      <c r="AR42" s="395">
        <f t="shared" ca="1" si="33"/>
        <v>0</v>
      </c>
      <c r="AS42" s="395">
        <f t="shared" ca="1" si="34"/>
        <v>0</v>
      </c>
      <c r="AT42" s="395">
        <f t="shared" ca="1" si="35"/>
        <v>0</v>
      </c>
      <c r="AU42" s="395">
        <f t="shared" ca="1" si="36"/>
        <v>0</v>
      </c>
      <c r="AV42" s="395">
        <f t="shared" ca="1" si="37"/>
        <v>0</v>
      </c>
      <c r="AW42" s="395">
        <f t="shared" ca="1" si="38"/>
        <v>0</v>
      </c>
    </row>
    <row r="43" spans="1:49" s="392" customFormat="1" ht="12" customHeight="1">
      <c r="A43" s="63">
        <f t="array" aca="1" ref="A43" ca="1">IF(C43&lt;&gt;0,SUM(($C$11:C43&lt;&gt;0)*1),"")</f>
        <v>33</v>
      </c>
      <c r="B43" s="393">
        <f ca="1">IF(ROWS($1:33)&gt;COUNT(Dong8),"",OFFSET(TH!C$1,SMALL(Dong8,ROWS($1:33)),))</f>
        <v>41871</v>
      </c>
      <c r="C43" s="393" t="str">
        <f ca="1">IF(ROWS($1:33)&gt;COUNT(Dong8),"",OFFSET(TH!D$1,SMALL(Dong8,ROWS($1:33)),))</f>
        <v>GBN</v>
      </c>
      <c r="D43" s="393">
        <f ca="1">IF(ROWS($1:33)&gt;COUNT(Dong8),"",OFFSET(TH!E$1,SMALL(Dong8,ROWS($1:33)),))</f>
        <v>41871</v>
      </c>
      <c r="E43" s="443" t="str">
        <f ca="1">IF(ROWS($1:33)&gt;COUNT(Dong8),"",OFFSET(TH!F$1,SMALL(Dong8,ROWS($1:33)),))</f>
        <v xml:space="preserve">Phí chuyển tiền </v>
      </c>
      <c r="F43" s="444">
        <f ca="1">IF(ROWS($1:33)&gt;COUNT(Dong8),"",OFFSET(TH!I$1,SMALL(Dong8,ROWS($1:33)),))</f>
        <v>113634</v>
      </c>
      <c r="G43" s="456" t="str">
        <f ca="1">IF(ROWS($1:33)&gt;COUNT(Dong8),"",OFFSET(TH!J$1,SMALL(Dong8,ROWS($1:33)),))</f>
        <v>642</v>
      </c>
      <c r="H43" s="456" t="str">
        <f ca="1">IF(ROWS($1:33)&gt;COUNT(Dong8),"",OFFSET(TH!K$1,SMALL(Dong8,ROWS($1:33)),))</f>
        <v>1121</v>
      </c>
      <c r="I43" s="63">
        <f t="shared" ca="1" si="41"/>
        <v>33</v>
      </c>
      <c r="J43" s="395">
        <f t="shared" ca="1" si="1"/>
        <v>0</v>
      </c>
      <c r="K43" s="395">
        <f t="shared" ca="1" si="2"/>
        <v>0</v>
      </c>
      <c r="L43" s="395">
        <f t="shared" ca="1" si="3"/>
        <v>0</v>
      </c>
      <c r="M43" s="395">
        <f t="shared" ca="1" si="4"/>
        <v>113634</v>
      </c>
      <c r="N43" s="395">
        <f t="shared" ca="1" si="5"/>
        <v>0</v>
      </c>
      <c r="O43" s="395">
        <f t="shared" ca="1" si="6"/>
        <v>0</v>
      </c>
      <c r="P43" s="395">
        <f t="shared" ca="1" si="7"/>
        <v>0</v>
      </c>
      <c r="Q43" s="395">
        <f t="shared" ca="1" si="8"/>
        <v>0</v>
      </c>
      <c r="R43" s="395">
        <f t="shared" ca="1" si="39"/>
        <v>0</v>
      </c>
      <c r="S43" s="395">
        <f t="shared" ca="1" si="40"/>
        <v>0</v>
      </c>
      <c r="T43" s="395">
        <f t="shared" ca="1" si="9"/>
        <v>0</v>
      </c>
      <c r="U43" s="395">
        <f t="shared" ca="1" si="10"/>
        <v>0</v>
      </c>
      <c r="V43" s="395">
        <f t="shared" ca="1" si="11"/>
        <v>0</v>
      </c>
      <c r="W43" s="395">
        <f t="shared" ca="1" si="12"/>
        <v>0</v>
      </c>
      <c r="X43" s="395">
        <f t="shared" ca="1" si="13"/>
        <v>0</v>
      </c>
      <c r="Y43" s="395">
        <f t="shared" ca="1" si="14"/>
        <v>0</v>
      </c>
      <c r="Z43" s="395">
        <f t="shared" ca="1" si="15"/>
        <v>0</v>
      </c>
      <c r="AA43" s="395">
        <f t="shared" ca="1" si="16"/>
        <v>0</v>
      </c>
      <c r="AB43" s="395">
        <f t="shared" ca="1" si="17"/>
        <v>0</v>
      </c>
      <c r="AC43" s="395">
        <f t="shared" ca="1" si="18"/>
        <v>0</v>
      </c>
      <c r="AD43" s="395">
        <f t="shared" ca="1" si="19"/>
        <v>0</v>
      </c>
      <c r="AE43" s="395">
        <f t="shared" ca="1" si="20"/>
        <v>0</v>
      </c>
      <c r="AF43" s="395">
        <f t="shared" ca="1" si="21"/>
        <v>0</v>
      </c>
      <c r="AG43" s="395">
        <f t="shared" ca="1" si="22"/>
        <v>0</v>
      </c>
      <c r="AH43" s="395">
        <f t="shared" ca="1" si="23"/>
        <v>0</v>
      </c>
      <c r="AI43" s="395">
        <f t="shared" ca="1" si="24"/>
        <v>0</v>
      </c>
      <c r="AJ43" s="395">
        <f t="shared" ca="1" si="25"/>
        <v>0</v>
      </c>
      <c r="AK43" s="395">
        <f t="shared" ca="1" si="26"/>
        <v>0</v>
      </c>
      <c r="AL43" s="395">
        <f t="shared" ca="1" si="27"/>
        <v>0</v>
      </c>
      <c r="AM43" s="395">
        <f t="shared" ca="1" si="28"/>
        <v>0</v>
      </c>
      <c r="AN43" s="395">
        <f t="shared" ca="1" si="29"/>
        <v>113634</v>
      </c>
      <c r="AO43" s="395">
        <f t="shared" ca="1" si="30"/>
        <v>0</v>
      </c>
      <c r="AP43" s="395">
        <f t="shared" ca="1" si="31"/>
        <v>0</v>
      </c>
      <c r="AQ43" s="395">
        <f t="shared" ca="1" si="32"/>
        <v>0</v>
      </c>
      <c r="AR43" s="395">
        <f t="shared" ca="1" si="33"/>
        <v>0</v>
      </c>
      <c r="AS43" s="395">
        <f t="shared" ca="1" si="34"/>
        <v>0</v>
      </c>
      <c r="AT43" s="395">
        <f t="shared" ca="1" si="35"/>
        <v>0</v>
      </c>
      <c r="AU43" s="395">
        <f t="shared" ca="1" si="36"/>
        <v>0</v>
      </c>
      <c r="AV43" s="395">
        <f t="shared" ca="1" si="37"/>
        <v>0</v>
      </c>
      <c r="AW43" s="395">
        <f t="shared" ca="1" si="38"/>
        <v>0</v>
      </c>
    </row>
    <row r="44" spans="1:49" s="392" customFormat="1" ht="12" customHeight="1">
      <c r="A44" s="63">
        <f t="array" aca="1" ref="A44" ca="1">IF(C44&lt;&gt;0,SUM(($C$11:C44&lt;&gt;0)*1),"")</f>
        <v>34</v>
      </c>
      <c r="B44" s="393">
        <f ca="1">IF(ROWS($1:34)&gt;COUNT(Dong8),"",OFFSET(TH!C$1,SMALL(Dong8,ROWS($1:34)),))</f>
        <v>41871</v>
      </c>
      <c r="C44" s="393" t="str">
        <f ca="1">IF(ROWS($1:34)&gt;COUNT(Dong8),"",OFFSET(TH!D$1,SMALL(Dong8,ROWS($1:34)),))</f>
        <v>GBN</v>
      </c>
      <c r="D44" s="393">
        <f ca="1">IF(ROWS($1:34)&gt;COUNT(Dong8),"",OFFSET(TH!E$1,SMALL(Dong8,ROWS($1:34)),))</f>
        <v>41871</v>
      </c>
      <c r="E44" s="443" t="str">
        <f ca="1">IF(ROWS($1:34)&gt;COUNT(Dong8),"",OFFSET(TH!F$1,SMALL(Dong8,ROWS($1:34)),))</f>
        <v xml:space="preserve">VAT Phí chuyển tiền </v>
      </c>
      <c r="F44" s="444">
        <f ca="1">IF(ROWS($1:34)&gt;COUNT(Dong8),"",OFFSET(TH!I$1,SMALL(Dong8,ROWS($1:34)),))</f>
        <v>11363</v>
      </c>
      <c r="G44" s="456" t="str">
        <f ca="1">IF(ROWS($1:34)&gt;COUNT(Dong8),"",OFFSET(TH!J$1,SMALL(Dong8,ROWS($1:34)),))</f>
        <v>1331</v>
      </c>
      <c r="H44" s="456" t="str">
        <f ca="1">IF(ROWS($1:34)&gt;COUNT(Dong8),"",OFFSET(TH!K$1,SMALL(Dong8,ROWS($1:34)),))</f>
        <v>1121</v>
      </c>
      <c r="I44" s="63">
        <f t="shared" ca="1" si="41"/>
        <v>34</v>
      </c>
      <c r="J44" s="395">
        <f t="shared" ca="1" si="1"/>
        <v>0</v>
      </c>
      <c r="K44" s="395">
        <f t="shared" ca="1" si="2"/>
        <v>0</v>
      </c>
      <c r="L44" s="395">
        <f t="shared" ca="1" si="3"/>
        <v>0</v>
      </c>
      <c r="M44" s="395">
        <f t="shared" ca="1" si="4"/>
        <v>11363</v>
      </c>
      <c r="N44" s="395">
        <f t="shared" ca="1" si="5"/>
        <v>11363</v>
      </c>
      <c r="O44" s="395">
        <f t="shared" ca="1" si="6"/>
        <v>0</v>
      </c>
      <c r="P44" s="395">
        <f t="shared" ca="1" si="7"/>
        <v>0</v>
      </c>
      <c r="Q44" s="395">
        <f t="shared" ca="1" si="8"/>
        <v>0</v>
      </c>
      <c r="R44" s="395">
        <f t="shared" ca="1" si="39"/>
        <v>0</v>
      </c>
      <c r="S44" s="395">
        <f t="shared" ca="1" si="40"/>
        <v>0</v>
      </c>
      <c r="T44" s="395">
        <f t="shared" ca="1" si="9"/>
        <v>0</v>
      </c>
      <c r="U44" s="395">
        <f t="shared" ca="1" si="10"/>
        <v>0</v>
      </c>
      <c r="V44" s="395">
        <f t="shared" ca="1" si="11"/>
        <v>0</v>
      </c>
      <c r="W44" s="395">
        <f t="shared" ca="1" si="12"/>
        <v>0</v>
      </c>
      <c r="X44" s="395">
        <f t="shared" ca="1" si="13"/>
        <v>0</v>
      </c>
      <c r="Y44" s="395">
        <f t="shared" ca="1" si="14"/>
        <v>0</v>
      </c>
      <c r="Z44" s="395">
        <f t="shared" ca="1" si="15"/>
        <v>0</v>
      </c>
      <c r="AA44" s="395">
        <f t="shared" ca="1" si="16"/>
        <v>0</v>
      </c>
      <c r="AB44" s="395">
        <f t="shared" ca="1" si="17"/>
        <v>0</v>
      </c>
      <c r="AC44" s="395">
        <f t="shared" ca="1" si="18"/>
        <v>0</v>
      </c>
      <c r="AD44" s="395">
        <f t="shared" ca="1" si="19"/>
        <v>0</v>
      </c>
      <c r="AE44" s="395">
        <f t="shared" ca="1" si="20"/>
        <v>0</v>
      </c>
      <c r="AF44" s="395">
        <f t="shared" ca="1" si="21"/>
        <v>0</v>
      </c>
      <c r="AG44" s="395">
        <f t="shared" ca="1" si="22"/>
        <v>0</v>
      </c>
      <c r="AH44" s="395">
        <f t="shared" ca="1" si="23"/>
        <v>0</v>
      </c>
      <c r="AI44" s="395">
        <f t="shared" ca="1" si="24"/>
        <v>0</v>
      </c>
      <c r="AJ44" s="395">
        <f t="shared" ca="1" si="25"/>
        <v>0</v>
      </c>
      <c r="AK44" s="395">
        <f t="shared" ca="1" si="26"/>
        <v>0</v>
      </c>
      <c r="AL44" s="395">
        <f t="shared" ca="1" si="27"/>
        <v>0</v>
      </c>
      <c r="AM44" s="395">
        <f t="shared" ca="1" si="28"/>
        <v>0</v>
      </c>
      <c r="AN44" s="395">
        <f t="shared" ca="1" si="29"/>
        <v>0</v>
      </c>
      <c r="AO44" s="395">
        <f t="shared" ca="1" si="30"/>
        <v>0</v>
      </c>
      <c r="AP44" s="395">
        <f t="shared" ca="1" si="31"/>
        <v>0</v>
      </c>
      <c r="AQ44" s="395">
        <f t="shared" ca="1" si="32"/>
        <v>0</v>
      </c>
      <c r="AR44" s="395">
        <f t="shared" ca="1" si="33"/>
        <v>0</v>
      </c>
      <c r="AS44" s="395">
        <f t="shared" ca="1" si="34"/>
        <v>0</v>
      </c>
      <c r="AT44" s="395">
        <f t="shared" ca="1" si="35"/>
        <v>0</v>
      </c>
      <c r="AU44" s="395">
        <f t="shared" ca="1" si="36"/>
        <v>0</v>
      </c>
      <c r="AV44" s="395">
        <f t="shared" ca="1" si="37"/>
        <v>0</v>
      </c>
      <c r="AW44" s="395">
        <f t="shared" ca="1" si="38"/>
        <v>0</v>
      </c>
    </row>
    <row r="45" spans="1:49" s="392" customFormat="1" ht="12" customHeight="1">
      <c r="A45" s="63">
        <f t="array" aca="1" ref="A45" ca="1">IF(C45&lt;&gt;0,SUM(($C$11:C45&lt;&gt;0)*1),"")</f>
        <v>35</v>
      </c>
      <c r="B45" s="393">
        <f ca="1">IF(ROWS($1:35)&gt;COUNT(Dong8),"",OFFSET(TH!C$1,SMALL(Dong8,ROWS($1:35)),))</f>
        <v>41871</v>
      </c>
      <c r="C45" s="393" t="str">
        <f ca="1">IF(ROWS($1:35)&gt;COUNT(Dong8),"",OFFSET(TH!D$1,SMALL(Dong8,ROWS($1:35)),))</f>
        <v>GBN</v>
      </c>
      <c r="D45" s="393">
        <f ca="1">IF(ROWS($1:35)&gt;COUNT(Dong8),"",OFFSET(TH!E$1,SMALL(Dong8,ROWS($1:35)),))</f>
        <v>41871</v>
      </c>
      <c r="E45" s="443" t="str">
        <f ca="1">IF(ROWS($1:35)&gt;COUNT(Dong8),"",OFFSET(TH!F$1,SMALL(Dong8,ROWS($1:35)),))</f>
        <v>Phí kiểm đếm</v>
      </c>
      <c r="F45" s="444">
        <f ca="1">IF(ROWS($1:35)&gt;COUNT(Dong8),"",OFFSET(TH!I$1,SMALL(Dong8,ROWS($1:35)),))</f>
        <v>40000</v>
      </c>
      <c r="G45" s="456" t="str">
        <f ca="1">IF(ROWS($1:35)&gt;COUNT(Dong8),"",OFFSET(TH!J$1,SMALL(Dong8,ROWS($1:35)),))</f>
        <v>642</v>
      </c>
      <c r="H45" s="456" t="str">
        <f ca="1">IF(ROWS($1:35)&gt;COUNT(Dong8),"",OFFSET(TH!K$1,SMALL(Dong8,ROWS($1:35)),))</f>
        <v>1121</v>
      </c>
      <c r="I45" s="63">
        <f t="shared" ca="1" si="41"/>
        <v>35</v>
      </c>
      <c r="J45" s="395">
        <f t="shared" ca="1" si="1"/>
        <v>0</v>
      </c>
      <c r="K45" s="395">
        <f t="shared" ca="1" si="2"/>
        <v>0</v>
      </c>
      <c r="L45" s="395">
        <f t="shared" ca="1" si="3"/>
        <v>0</v>
      </c>
      <c r="M45" s="395">
        <f t="shared" ca="1" si="4"/>
        <v>40000</v>
      </c>
      <c r="N45" s="395">
        <f t="shared" ca="1" si="5"/>
        <v>0</v>
      </c>
      <c r="O45" s="395">
        <f t="shared" ca="1" si="6"/>
        <v>0</v>
      </c>
      <c r="P45" s="395">
        <f t="shared" ca="1" si="7"/>
        <v>0</v>
      </c>
      <c r="Q45" s="395">
        <f t="shared" ca="1" si="8"/>
        <v>0</v>
      </c>
      <c r="R45" s="395">
        <f t="shared" ca="1" si="39"/>
        <v>0</v>
      </c>
      <c r="S45" s="395">
        <f t="shared" ca="1" si="40"/>
        <v>0</v>
      </c>
      <c r="T45" s="395">
        <f t="shared" ca="1" si="9"/>
        <v>0</v>
      </c>
      <c r="U45" s="395">
        <f t="shared" ca="1" si="10"/>
        <v>0</v>
      </c>
      <c r="V45" s="395">
        <f t="shared" ca="1" si="11"/>
        <v>0</v>
      </c>
      <c r="W45" s="395">
        <f t="shared" ca="1" si="12"/>
        <v>0</v>
      </c>
      <c r="X45" s="395">
        <f t="shared" ca="1" si="13"/>
        <v>0</v>
      </c>
      <c r="Y45" s="395">
        <f t="shared" ca="1" si="14"/>
        <v>0</v>
      </c>
      <c r="Z45" s="395">
        <f t="shared" ca="1" si="15"/>
        <v>0</v>
      </c>
      <c r="AA45" s="395">
        <f t="shared" ca="1" si="16"/>
        <v>0</v>
      </c>
      <c r="AB45" s="395">
        <f t="shared" ca="1" si="17"/>
        <v>0</v>
      </c>
      <c r="AC45" s="395">
        <f t="shared" ca="1" si="18"/>
        <v>0</v>
      </c>
      <c r="AD45" s="395">
        <f t="shared" ca="1" si="19"/>
        <v>0</v>
      </c>
      <c r="AE45" s="395">
        <f t="shared" ca="1" si="20"/>
        <v>0</v>
      </c>
      <c r="AF45" s="395">
        <f t="shared" ca="1" si="21"/>
        <v>0</v>
      </c>
      <c r="AG45" s="395">
        <f t="shared" ca="1" si="22"/>
        <v>0</v>
      </c>
      <c r="AH45" s="395">
        <f t="shared" ca="1" si="23"/>
        <v>0</v>
      </c>
      <c r="AI45" s="395">
        <f t="shared" ca="1" si="24"/>
        <v>0</v>
      </c>
      <c r="AJ45" s="395">
        <f t="shared" ca="1" si="25"/>
        <v>0</v>
      </c>
      <c r="AK45" s="395">
        <f t="shared" ca="1" si="26"/>
        <v>0</v>
      </c>
      <c r="AL45" s="395">
        <f t="shared" ca="1" si="27"/>
        <v>0</v>
      </c>
      <c r="AM45" s="395">
        <f t="shared" ca="1" si="28"/>
        <v>0</v>
      </c>
      <c r="AN45" s="395">
        <f t="shared" ca="1" si="29"/>
        <v>40000</v>
      </c>
      <c r="AO45" s="395">
        <f t="shared" ca="1" si="30"/>
        <v>0</v>
      </c>
      <c r="AP45" s="395">
        <f t="shared" ca="1" si="31"/>
        <v>0</v>
      </c>
      <c r="AQ45" s="395">
        <f t="shared" ca="1" si="32"/>
        <v>0</v>
      </c>
      <c r="AR45" s="395">
        <f t="shared" ca="1" si="33"/>
        <v>0</v>
      </c>
      <c r="AS45" s="395">
        <f t="shared" ca="1" si="34"/>
        <v>0</v>
      </c>
      <c r="AT45" s="395">
        <f t="shared" ca="1" si="35"/>
        <v>0</v>
      </c>
      <c r="AU45" s="395">
        <f t="shared" ca="1" si="36"/>
        <v>0</v>
      </c>
      <c r="AV45" s="395">
        <f t="shared" ca="1" si="37"/>
        <v>0</v>
      </c>
      <c r="AW45" s="395">
        <f t="shared" ca="1" si="38"/>
        <v>0</v>
      </c>
    </row>
    <row r="46" spans="1:49" s="392" customFormat="1" ht="12" customHeight="1">
      <c r="A46" s="63">
        <f t="array" aca="1" ref="A46" ca="1">IF(C46&lt;&gt;0,SUM(($C$11:C46&lt;&gt;0)*1),"")</f>
        <v>36</v>
      </c>
      <c r="B46" s="393">
        <f ca="1">IF(ROWS($1:36)&gt;COUNT(Dong8),"",OFFSET(TH!C$1,SMALL(Dong8,ROWS($1:36)),))</f>
        <v>41871</v>
      </c>
      <c r="C46" s="393" t="str">
        <f ca="1">IF(ROWS($1:36)&gt;COUNT(Dong8),"",OFFSET(TH!D$1,SMALL(Dong8,ROWS($1:36)),))</f>
        <v>GBN</v>
      </c>
      <c r="D46" s="393">
        <f ca="1">IF(ROWS($1:36)&gt;COUNT(Dong8),"",OFFSET(TH!E$1,SMALL(Dong8,ROWS($1:36)),))</f>
        <v>41871</v>
      </c>
      <c r="E46" s="443" t="str">
        <f ca="1">IF(ROWS($1:36)&gt;COUNT(Dong8),"",OFFSET(TH!F$1,SMALL(Dong8,ROWS($1:36)),))</f>
        <v>VAT Phí kiểm đếm</v>
      </c>
      <c r="F46" s="444">
        <f ca="1">IF(ROWS($1:36)&gt;COUNT(Dong8),"",OFFSET(TH!I$1,SMALL(Dong8,ROWS($1:36)),))</f>
        <v>4000</v>
      </c>
      <c r="G46" s="456" t="str">
        <f ca="1">IF(ROWS($1:36)&gt;COUNT(Dong8),"",OFFSET(TH!J$1,SMALL(Dong8,ROWS($1:36)),))</f>
        <v>1331</v>
      </c>
      <c r="H46" s="456" t="str">
        <f ca="1">IF(ROWS($1:36)&gt;COUNT(Dong8),"",OFFSET(TH!K$1,SMALL(Dong8,ROWS($1:36)),))</f>
        <v>1121</v>
      </c>
      <c r="I46" s="63">
        <f t="shared" ca="1" si="41"/>
        <v>36</v>
      </c>
      <c r="J46" s="395">
        <f t="shared" ca="1" si="1"/>
        <v>0</v>
      </c>
      <c r="K46" s="395">
        <f t="shared" ca="1" si="2"/>
        <v>0</v>
      </c>
      <c r="L46" s="395">
        <f t="shared" ca="1" si="3"/>
        <v>0</v>
      </c>
      <c r="M46" s="395">
        <f t="shared" ca="1" si="4"/>
        <v>4000</v>
      </c>
      <c r="N46" s="395">
        <f t="shared" ca="1" si="5"/>
        <v>4000</v>
      </c>
      <c r="O46" s="395">
        <f t="shared" ca="1" si="6"/>
        <v>0</v>
      </c>
      <c r="P46" s="395">
        <f t="shared" ca="1" si="7"/>
        <v>0</v>
      </c>
      <c r="Q46" s="395">
        <f t="shared" ca="1" si="8"/>
        <v>0</v>
      </c>
      <c r="R46" s="395">
        <f t="shared" ca="1" si="39"/>
        <v>0</v>
      </c>
      <c r="S46" s="395">
        <f t="shared" ca="1" si="40"/>
        <v>0</v>
      </c>
      <c r="T46" s="395">
        <f t="shared" ca="1" si="9"/>
        <v>0</v>
      </c>
      <c r="U46" s="395">
        <f t="shared" ca="1" si="10"/>
        <v>0</v>
      </c>
      <c r="V46" s="395">
        <f t="shared" ca="1" si="11"/>
        <v>0</v>
      </c>
      <c r="W46" s="395">
        <f t="shared" ca="1" si="12"/>
        <v>0</v>
      </c>
      <c r="X46" s="395">
        <f t="shared" ca="1" si="13"/>
        <v>0</v>
      </c>
      <c r="Y46" s="395">
        <f t="shared" ca="1" si="14"/>
        <v>0</v>
      </c>
      <c r="Z46" s="395">
        <f t="shared" ca="1" si="15"/>
        <v>0</v>
      </c>
      <c r="AA46" s="395">
        <f t="shared" ca="1" si="16"/>
        <v>0</v>
      </c>
      <c r="AB46" s="395">
        <f t="shared" ca="1" si="17"/>
        <v>0</v>
      </c>
      <c r="AC46" s="395">
        <f t="shared" ca="1" si="18"/>
        <v>0</v>
      </c>
      <c r="AD46" s="395">
        <f t="shared" ca="1" si="19"/>
        <v>0</v>
      </c>
      <c r="AE46" s="395">
        <f t="shared" ca="1" si="20"/>
        <v>0</v>
      </c>
      <c r="AF46" s="395">
        <f t="shared" ca="1" si="21"/>
        <v>0</v>
      </c>
      <c r="AG46" s="395">
        <f t="shared" ca="1" si="22"/>
        <v>0</v>
      </c>
      <c r="AH46" s="395">
        <f t="shared" ca="1" si="23"/>
        <v>0</v>
      </c>
      <c r="AI46" s="395">
        <f t="shared" ca="1" si="24"/>
        <v>0</v>
      </c>
      <c r="AJ46" s="395">
        <f t="shared" ca="1" si="25"/>
        <v>0</v>
      </c>
      <c r="AK46" s="395">
        <f t="shared" ca="1" si="26"/>
        <v>0</v>
      </c>
      <c r="AL46" s="395">
        <f t="shared" ca="1" si="27"/>
        <v>0</v>
      </c>
      <c r="AM46" s="395">
        <f t="shared" ca="1" si="28"/>
        <v>0</v>
      </c>
      <c r="AN46" s="395">
        <f t="shared" ca="1" si="29"/>
        <v>0</v>
      </c>
      <c r="AO46" s="395">
        <f t="shared" ca="1" si="30"/>
        <v>0</v>
      </c>
      <c r="AP46" s="395">
        <f t="shared" ca="1" si="31"/>
        <v>0</v>
      </c>
      <c r="AQ46" s="395">
        <f t="shared" ca="1" si="32"/>
        <v>0</v>
      </c>
      <c r="AR46" s="395">
        <f t="shared" ca="1" si="33"/>
        <v>0</v>
      </c>
      <c r="AS46" s="395">
        <f t="shared" ca="1" si="34"/>
        <v>0</v>
      </c>
      <c r="AT46" s="395">
        <f t="shared" ca="1" si="35"/>
        <v>0</v>
      </c>
      <c r="AU46" s="395">
        <f t="shared" ca="1" si="36"/>
        <v>0</v>
      </c>
      <c r="AV46" s="395">
        <f t="shared" ca="1" si="37"/>
        <v>0</v>
      </c>
      <c r="AW46" s="395">
        <f t="shared" ca="1" si="38"/>
        <v>0</v>
      </c>
    </row>
    <row r="47" spans="1:49" s="392" customFormat="1" ht="12" customHeight="1">
      <c r="A47" s="63">
        <f t="array" aca="1" ref="A47" ca="1">IF(C47&lt;&gt;0,SUM(($C$11:C47&lt;&gt;0)*1),"")</f>
        <v>37</v>
      </c>
      <c r="B47" s="393">
        <f ca="1">IF(ROWS($1:37)&gt;COUNT(Dong8),"",OFFSET(TH!C$1,SMALL(Dong8,ROWS($1:37)),))</f>
        <v>41872</v>
      </c>
      <c r="C47" s="393" t="str">
        <f ca="1">IF(ROWS($1:37)&gt;COUNT(Dong8),"",OFFSET(TH!D$1,SMALL(Dong8,ROWS($1:37)),))</f>
        <v>CTGS</v>
      </c>
      <c r="D47" s="393">
        <f ca="1">IF(ROWS($1:37)&gt;COUNT(Dong8),"",OFFSET(TH!E$1,SMALL(Dong8,ROWS($1:37)),))</f>
        <v>41872</v>
      </c>
      <c r="E47" s="443" t="str">
        <f ca="1">IF(ROWS($1:37)&gt;COUNT(Dong8),"",OFFSET(TH!F$1,SMALL(Dong8,ROWS($1:37)),))</f>
        <v>Hợp đồng giao khoán số 13/HDGK/2014</v>
      </c>
      <c r="F47" s="444">
        <f ca="1">IF(ROWS($1:37)&gt;COUNT(Dong8),"",OFFSET(TH!I$1,SMALL(Dong8,ROWS($1:37)),))</f>
        <v>72727273</v>
      </c>
      <c r="G47" s="456" t="str">
        <f ca="1">IF(ROWS($1:37)&gt;COUNT(Dong8),"",OFFSET(TH!J$1,SMALL(Dong8,ROWS($1:37)),))</f>
        <v>2412</v>
      </c>
      <c r="H47" s="456" t="str">
        <f ca="1">IF(ROWS($1:37)&gt;COUNT(Dong8),"",OFFSET(TH!K$1,SMALL(Dong8,ROWS($1:37)),))</f>
        <v>331</v>
      </c>
      <c r="I47" s="63">
        <f t="shared" ca="1" si="41"/>
        <v>37</v>
      </c>
      <c r="J47" s="395">
        <f t="shared" ca="1" si="1"/>
        <v>0</v>
      </c>
      <c r="K47" s="395">
        <f t="shared" ca="1" si="2"/>
        <v>0</v>
      </c>
      <c r="L47" s="395">
        <f t="shared" ca="1" si="3"/>
        <v>0</v>
      </c>
      <c r="M47" s="395">
        <f t="shared" ca="1" si="4"/>
        <v>0</v>
      </c>
      <c r="N47" s="395">
        <f t="shared" ca="1" si="5"/>
        <v>0</v>
      </c>
      <c r="O47" s="395">
        <f t="shared" ca="1" si="6"/>
        <v>0</v>
      </c>
      <c r="P47" s="395">
        <f t="shared" ca="1" si="7"/>
        <v>0</v>
      </c>
      <c r="Q47" s="395">
        <f t="shared" ca="1" si="8"/>
        <v>0</v>
      </c>
      <c r="R47" s="395">
        <f t="shared" ca="1" si="39"/>
        <v>72727273</v>
      </c>
      <c r="S47" s="395">
        <f t="shared" ca="1" si="40"/>
        <v>0</v>
      </c>
      <c r="T47" s="395">
        <f t="shared" ca="1" si="9"/>
        <v>0</v>
      </c>
      <c r="U47" s="395">
        <f t="shared" ca="1" si="10"/>
        <v>72727273</v>
      </c>
      <c r="V47" s="395">
        <f t="shared" ca="1" si="11"/>
        <v>0</v>
      </c>
      <c r="W47" s="395">
        <f t="shared" ca="1" si="12"/>
        <v>0</v>
      </c>
      <c r="X47" s="395">
        <f t="shared" ca="1" si="13"/>
        <v>0</v>
      </c>
      <c r="Y47" s="395">
        <f t="shared" ca="1" si="14"/>
        <v>0</v>
      </c>
      <c r="Z47" s="395">
        <f t="shared" ca="1" si="15"/>
        <v>0</v>
      </c>
      <c r="AA47" s="395">
        <f t="shared" ca="1" si="16"/>
        <v>0</v>
      </c>
      <c r="AB47" s="395">
        <f t="shared" ca="1" si="17"/>
        <v>0</v>
      </c>
      <c r="AC47" s="395">
        <f t="shared" ca="1" si="18"/>
        <v>0</v>
      </c>
      <c r="AD47" s="395">
        <f t="shared" ca="1" si="19"/>
        <v>0</v>
      </c>
      <c r="AE47" s="395">
        <f t="shared" ca="1" si="20"/>
        <v>0</v>
      </c>
      <c r="AF47" s="395">
        <f t="shared" ca="1" si="21"/>
        <v>0</v>
      </c>
      <c r="AG47" s="395">
        <f t="shared" ca="1" si="22"/>
        <v>0</v>
      </c>
      <c r="AH47" s="395">
        <f t="shared" ca="1" si="23"/>
        <v>0</v>
      </c>
      <c r="AI47" s="395">
        <f t="shared" ca="1" si="24"/>
        <v>0</v>
      </c>
      <c r="AJ47" s="395">
        <f t="shared" ca="1" si="25"/>
        <v>0</v>
      </c>
      <c r="AK47" s="395">
        <f t="shared" ca="1" si="26"/>
        <v>0</v>
      </c>
      <c r="AL47" s="395">
        <f t="shared" ca="1" si="27"/>
        <v>0</v>
      </c>
      <c r="AM47" s="395">
        <f t="shared" ca="1" si="28"/>
        <v>0</v>
      </c>
      <c r="AN47" s="395">
        <f t="shared" ca="1" si="29"/>
        <v>0</v>
      </c>
      <c r="AO47" s="395">
        <f t="shared" ca="1" si="30"/>
        <v>0</v>
      </c>
      <c r="AP47" s="395">
        <f t="shared" ca="1" si="31"/>
        <v>0</v>
      </c>
      <c r="AQ47" s="395">
        <f t="shared" ca="1" si="32"/>
        <v>0</v>
      </c>
      <c r="AR47" s="395">
        <f t="shared" ca="1" si="33"/>
        <v>0</v>
      </c>
      <c r="AS47" s="395">
        <f t="shared" ca="1" si="34"/>
        <v>0</v>
      </c>
      <c r="AT47" s="395">
        <f t="shared" ca="1" si="35"/>
        <v>0</v>
      </c>
      <c r="AU47" s="395">
        <f t="shared" ca="1" si="36"/>
        <v>0</v>
      </c>
      <c r="AV47" s="395">
        <f t="shared" ca="1" si="37"/>
        <v>0</v>
      </c>
      <c r="AW47" s="395">
        <f t="shared" ca="1" si="38"/>
        <v>0</v>
      </c>
    </row>
    <row r="48" spans="1:49" s="392" customFormat="1" ht="12" customHeight="1">
      <c r="A48" s="63">
        <f t="array" aca="1" ref="A48" ca="1">IF(C48&lt;&gt;0,SUM(($C$11:C48&lt;&gt;0)*1),"")</f>
        <v>38</v>
      </c>
      <c r="B48" s="393">
        <f ca="1">IF(ROWS($1:38)&gt;COUNT(Dong8),"",OFFSET(TH!C$1,SMALL(Dong8,ROWS($1:38)),))</f>
        <v>41872</v>
      </c>
      <c r="C48" s="393" t="str">
        <f ca="1">IF(ROWS($1:38)&gt;COUNT(Dong8),"",OFFSET(TH!D$1,SMALL(Dong8,ROWS($1:38)),))</f>
        <v>CTGS</v>
      </c>
      <c r="D48" s="393">
        <f ca="1">IF(ROWS($1:38)&gt;COUNT(Dong8),"",OFFSET(TH!E$1,SMALL(Dong8,ROWS($1:38)),))</f>
        <v>41872</v>
      </c>
      <c r="E48" s="443" t="str">
        <f ca="1">IF(ROWS($1:38)&gt;COUNT(Dong8),"",OFFSET(TH!F$1,SMALL(Dong8,ROWS($1:38)),))</f>
        <v>VAT Hợp đồng giao khoán số 13/HDGK/2014</v>
      </c>
      <c r="F48" s="444">
        <f ca="1">IF(ROWS($1:38)&gt;COUNT(Dong8),"",OFFSET(TH!I$1,SMALL(Dong8,ROWS($1:38)),))</f>
        <v>7272727</v>
      </c>
      <c r="G48" s="456" t="str">
        <f ca="1">IF(ROWS($1:38)&gt;COUNT(Dong8),"",OFFSET(TH!J$1,SMALL(Dong8,ROWS($1:38)),))</f>
        <v>1331</v>
      </c>
      <c r="H48" s="456" t="str">
        <f ca="1">IF(ROWS($1:38)&gt;COUNT(Dong8),"",OFFSET(TH!K$1,SMALL(Dong8,ROWS($1:38)),))</f>
        <v>331</v>
      </c>
      <c r="I48" s="63">
        <f t="shared" ca="1" si="41"/>
        <v>38</v>
      </c>
      <c r="J48" s="395">
        <f t="shared" ca="1" si="1"/>
        <v>0</v>
      </c>
      <c r="K48" s="395">
        <f t="shared" ca="1" si="2"/>
        <v>0</v>
      </c>
      <c r="L48" s="395">
        <f t="shared" ca="1" si="3"/>
        <v>0</v>
      </c>
      <c r="M48" s="395">
        <f t="shared" ca="1" si="4"/>
        <v>0</v>
      </c>
      <c r="N48" s="395">
        <f t="shared" ca="1" si="5"/>
        <v>7272727</v>
      </c>
      <c r="O48" s="395">
        <f t="shared" ca="1" si="6"/>
        <v>0</v>
      </c>
      <c r="P48" s="395">
        <f t="shared" ca="1" si="7"/>
        <v>0</v>
      </c>
      <c r="Q48" s="395">
        <f t="shared" ca="1" si="8"/>
        <v>0</v>
      </c>
      <c r="R48" s="395">
        <f t="shared" ca="1" si="39"/>
        <v>0</v>
      </c>
      <c r="S48" s="395">
        <f t="shared" ca="1" si="40"/>
        <v>0</v>
      </c>
      <c r="T48" s="395">
        <f t="shared" ca="1" si="9"/>
        <v>0</v>
      </c>
      <c r="U48" s="395">
        <f t="shared" ca="1" si="10"/>
        <v>7272727</v>
      </c>
      <c r="V48" s="395">
        <f t="shared" ca="1" si="11"/>
        <v>0</v>
      </c>
      <c r="W48" s="395">
        <f t="shared" ca="1" si="12"/>
        <v>0</v>
      </c>
      <c r="X48" s="395">
        <f t="shared" ca="1" si="13"/>
        <v>0</v>
      </c>
      <c r="Y48" s="395">
        <f t="shared" ca="1" si="14"/>
        <v>0</v>
      </c>
      <c r="Z48" s="395">
        <f t="shared" ca="1" si="15"/>
        <v>0</v>
      </c>
      <c r="AA48" s="395">
        <f t="shared" ca="1" si="16"/>
        <v>0</v>
      </c>
      <c r="AB48" s="395">
        <f t="shared" ca="1" si="17"/>
        <v>0</v>
      </c>
      <c r="AC48" s="395">
        <f t="shared" ca="1" si="18"/>
        <v>0</v>
      </c>
      <c r="AD48" s="395">
        <f t="shared" ca="1" si="19"/>
        <v>0</v>
      </c>
      <c r="AE48" s="395">
        <f t="shared" ca="1" si="20"/>
        <v>0</v>
      </c>
      <c r="AF48" s="395">
        <f t="shared" ca="1" si="21"/>
        <v>0</v>
      </c>
      <c r="AG48" s="395">
        <f t="shared" ca="1" si="22"/>
        <v>0</v>
      </c>
      <c r="AH48" s="395">
        <f t="shared" ca="1" si="23"/>
        <v>0</v>
      </c>
      <c r="AI48" s="395">
        <f t="shared" ca="1" si="24"/>
        <v>0</v>
      </c>
      <c r="AJ48" s="395">
        <f t="shared" ca="1" si="25"/>
        <v>0</v>
      </c>
      <c r="AK48" s="395">
        <f t="shared" ca="1" si="26"/>
        <v>0</v>
      </c>
      <c r="AL48" s="395">
        <f t="shared" ca="1" si="27"/>
        <v>0</v>
      </c>
      <c r="AM48" s="395">
        <f t="shared" ca="1" si="28"/>
        <v>0</v>
      </c>
      <c r="AN48" s="395">
        <f t="shared" ca="1" si="29"/>
        <v>0</v>
      </c>
      <c r="AO48" s="395">
        <f t="shared" ca="1" si="30"/>
        <v>0</v>
      </c>
      <c r="AP48" s="395">
        <f t="shared" ca="1" si="31"/>
        <v>0</v>
      </c>
      <c r="AQ48" s="395">
        <f t="shared" ca="1" si="32"/>
        <v>0</v>
      </c>
      <c r="AR48" s="395">
        <f t="shared" ca="1" si="33"/>
        <v>0</v>
      </c>
      <c r="AS48" s="395">
        <f t="shared" ca="1" si="34"/>
        <v>0</v>
      </c>
      <c r="AT48" s="395">
        <f t="shared" ca="1" si="35"/>
        <v>0</v>
      </c>
      <c r="AU48" s="395">
        <f t="shared" ca="1" si="36"/>
        <v>0</v>
      </c>
      <c r="AV48" s="395">
        <f t="shared" ca="1" si="37"/>
        <v>0</v>
      </c>
      <c r="AW48" s="395">
        <f t="shared" ca="1" si="38"/>
        <v>0</v>
      </c>
    </row>
    <row r="49" spans="1:49" s="392" customFormat="1" ht="12" customHeight="1">
      <c r="A49" s="63">
        <f t="array" aca="1" ref="A49" ca="1">IF(C49&lt;&gt;0,SUM(($C$11:C49&lt;&gt;0)*1),"")</f>
        <v>39</v>
      </c>
      <c r="B49" s="393">
        <f ca="1">IF(ROWS($1:39)&gt;COUNT(Dong8),"",OFFSET(TH!C$1,SMALL(Dong8,ROWS($1:39)),))</f>
        <v>41876</v>
      </c>
      <c r="C49" s="393" t="str">
        <f ca="1">IF(ROWS($1:39)&gt;COUNT(Dong8),"",OFFSET(TH!D$1,SMALL(Dong8,ROWS($1:39)),))</f>
        <v>GBC</v>
      </c>
      <c r="D49" s="393">
        <f ca="1">IF(ROWS($1:39)&gt;COUNT(Dong8),"",OFFSET(TH!E$1,SMALL(Dong8,ROWS($1:39)),))</f>
        <v>41876</v>
      </c>
      <c r="E49" s="443" t="str">
        <f ca="1">IF(ROWS($1:39)&gt;COUNT(Dong8),"",OFFSET(TH!F$1,SMALL(Dong8,ROWS($1:39)),))</f>
        <v>Lãi tiền gửi</v>
      </c>
      <c r="F49" s="444">
        <f ca="1">IF(ROWS($1:39)&gt;COUNT(Dong8),"",OFFSET(TH!I$1,SMALL(Dong8,ROWS($1:39)),))</f>
        <v>38769</v>
      </c>
      <c r="G49" s="456" t="str">
        <f ca="1">IF(ROWS($1:39)&gt;COUNT(Dong8),"",OFFSET(TH!J$1,SMALL(Dong8,ROWS($1:39)),))</f>
        <v>1121</v>
      </c>
      <c r="H49" s="456" t="str">
        <f ca="1">IF(ROWS($1:39)&gt;COUNT(Dong8),"",OFFSET(TH!K$1,SMALL(Dong8,ROWS($1:39)),))</f>
        <v>515</v>
      </c>
      <c r="I49" s="63">
        <f t="shared" ca="1" si="41"/>
        <v>39</v>
      </c>
      <c r="J49" s="395">
        <f t="shared" ca="1" si="1"/>
        <v>0</v>
      </c>
      <c r="K49" s="395">
        <f t="shared" ca="1" si="2"/>
        <v>0</v>
      </c>
      <c r="L49" s="395">
        <f t="shared" ca="1" si="3"/>
        <v>38769</v>
      </c>
      <c r="M49" s="395">
        <f t="shared" ca="1" si="4"/>
        <v>0</v>
      </c>
      <c r="N49" s="395">
        <f t="shared" ca="1" si="5"/>
        <v>0</v>
      </c>
      <c r="O49" s="395">
        <f t="shared" ca="1" si="6"/>
        <v>0</v>
      </c>
      <c r="P49" s="395">
        <f t="shared" ca="1" si="7"/>
        <v>0</v>
      </c>
      <c r="Q49" s="395">
        <f t="shared" ca="1" si="8"/>
        <v>0</v>
      </c>
      <c r="R49" s="395">
        <f t="shared" ca="1" si="39"/>
        <v>0</v>
      </c>
      <c r="S49" s="395">
        <f t="shared" ca="1" si="40"/>
        <v>0</v>
      </c>
      <c r="T49" s="395">
        <f t="shared" ca="1" si="9"/>
        <v>0</v>
      </c>
      <c r="U49" s="395">
        <f t="shared" ca="1" si="10"/>
        <v>0</v>
      </c>
      <c r="V49" s="395">
        <f t="shared" ca="1" si="11"/>
        <v>0</v>
      </c>
      <c r="W49" s="395">
        <f t="shared" ca="1" si="12"/>
        <v>0</v>
      </c>
      <c r="X49" s="395">
        <f t="shared" ca="1" si="13"/>
        <v>0</v>
      </c>
      <c r="Y49" s="395">
        <f t="shared" ca="1" si="14"/>
        <v>0</v>
      </c>
      <c r="Z49" s="395">
        <f t="shared" ca="1" si="15"/>
        <v>0</v>
      </c>
      <c r="AA49" s="395">
        <f t="shared" ca="1" si="16"/>
        <v>0</v>
      </c>
      <c r="AB49" s="395">
        <f t="shared" ca="1" si="17"/>
        <v>0</v>
      </c>
      <c r="AC49" s="395">
        <f t="shared" ca="1" si="18"/>
        <v>0</v>
      </c>
      <c r="AD49" s="395">
        <f t="shared" ca="1" si="19"/>
        <v>0</v>
      </c>
      <c r="AE49" s="395">
        <f t="shared" ca="1" si="20"/>
        <v>0</v>
      </c>
      <c r="AF49" s="395">
        <f t="shared" ca="1" si="21"/>
        <v>0</v>
      </c>
      <c r="AG49" s="395">
        <f t="shared" ca="1" si="22"/>
        <v>0</v>
      </c>
      <c r="AH49" s="395">
        <f t="shared" ca="1" si="23"/>
        <v>0</v>
      </c>
      <c r="AI49" s="395">
        <f t="shared" ca="1" si="24"/>
        <v>0</v>
      </c>
      <c r="AJ49" s="395">
        <f t="shared" ca="1" si="25"/>
        <v>0</v>
      </c>
      <c r="AK49" s="395">
        <f t="shared" ca="1" si="26"/>
        <v>38769</v>
      </c>
      <c r="AL49" s="395">
        <f t="shared" ca="1" si="27"/>
        <v>0</v>
      </c>
      <c r="AM49" s="395">
        <f t="shared" ca="1" si="28"/>
        <v>0</v>
      </c>
      <c r="AN49" s="395">
        <f t="shared" ca="1" si="29"/>
        <v>0</v>
      </c>
      <c r="AO49" s="395">
        <f t="shared" ca="1" si="30"/>
        <v>0</v>
      </c>
      <c r="AP49" s="395">
        <f t="shared" ca="1" si="31"/>
        <v>0</v>
      </c>
      <c r="AQ49" s="395">
        <f t="shared" ca="1" si="32"/>
        <v>0</v>
      </c>
      <c r="AR49" s="395">
        <f t="shared" ca="1" si="33"/>
        <v>0</v>
      </c>
      <c r="AS49" s="395">
        <f t="shared" ca="1" si="34"/>
        <v>0</v>
      </c>
      <c r="AT49" s="395">
        <f t="shared" ca="1" si="35"/>
        <v>0</v>
      </c>
      <c r="AU49" s="395">
        <f t="shared" ca="1" si="36"/>
        <v>0</v>
      </c>
      <c r="AV49" s="395">
        <f t="shared" ca="1" si="37"/>
        <v>0</v>
      </c>
      <c r="AW49" s="395">
        <f t="shared" ca="1" si="38"/>
        <v>0</v>
      </c>
    </row>
    <row r="50" spans="1:49" s="392" customFormat="1" ht="12" customHeight="1">
      <c r="A50" s="63">
        <f t="array" aca="1" ref="A50" ca="1">IF(C50&lt;&gt;0,SUM(($C$11:C50&lt;&gt;0)*1),"")</f>
        <v>40</v>
      </c>
      <c r="B50" s="393">
        <f ca="1">IF(ROWS($1:40)&gt;COUNT(Dong8),"",OFFSET(TH!C$1,SMALL(Dong8,ROWS($1:40)),))</f>
        <v>41877</v>
      </c>
      <c r="C50" s="393" t="str">
        <f ca="1">IF(ROWS($1:40)&gt;COUNT(Dong8),"",OFFSET(TH!D$1,SMALL(Dong8,ROWS($1:40)),))</f>
        <v>CTGS</v>
      </c>
      <c r="D50" s="393">
        <f ca="1">IF(ROWS($1:40)&gt;COUNT(Dong8),"",OFFSET(TH!E$1,SMALL(Dong8,ROWS($1:40)),))</f>
        <v>41877</v>
      </c>
      <c r="E50" s="443" t="str">
        <f ca="1">IF(ROWS($1:40)&gt;COUNT(Dong8),"",OFFSET(TH!F$1,SMALL(Dong8,ROWS($1:40)),))</f>
        <v>Cọc bê tông</v>
      </c>
      <c r="F50" s="444">
        <f ca="1">IF(ROWS($1:40)&gt;COUNT(Dong8),"",OFFSET(TH!I$1,SMALL(Dong8,ROWS($1:40)),))</f>
        <v>1443034000</v>
      </c>
      <c r="G50" s="456" t="str">
        <f ca="1">IF(ROWS($1:40)&gt;COUNT(Dong8),"",OFFSET(TH!J$1,SMALL(Dong8,ROWS($1:40)),))</f>
        <v>2412</v>
      </c>
      <c r="H50" s="456" t="str">
        <f ca="1">IF(ROWS($1:40)&gt;COUNT(Dong8),"",OFFSET(TH!K$1,SMALL(Dong8,ROWS($1:40)),))</f>
        <v>331</v>
      </c>
      <c r="I50" s="63">
        <f t="shared" ca="1" si="41"/>
        <v>40</v>
      </c>
      <c r="J50" s="395">
        <f t="shared" ca="1" si="1"/>
        <v>0</v>
      </c>
      <c r="K50" s="395">
        <f t="shared" ca="1" si="2"/>
        <v>0</v>
      </c>
      <c r="L50" s="395">
        <f t="shared" ca="1" si="3"/>
        <v>0</v>
      </c>
      <c r="M50" s="395">
        <f t="shared" ca="1" si="4"/>
        <v>0</v>
      </c>
      <c r="N50" s="395">
        <f t="shared" ca="1" si="5"/>
        <v>0</v>
      </c>
      <c r="O50" s="395">
        <f t="shared" ca="1" si="6"/>
        <v>0</v>
      </c>
      <c r="P50" s="395">
        <f t="shared" ca="1" si="7"/>
        <v>0</v>
      </c>
      <c r="Q50" s="395">
        <f t="shared" ca="1" si="8"/>
        <v>0</v>
      </c>
      <c r="R50" s="395">
        <f t="shared" ca="1" si="39"/>
        <v>1443034000</v>
      </c>
      <c r="S50" s="395">
        <f t="shared" ca="1" si="40"/>
        <v>0</v>
      </c>
      <c r="T50" s="395">
        <f t="shared" ca="1" si="9"/>
        <v>0</v>
      </c>
      <c r="U50" s="395">
        <f t="shared" ca="1" si="10"/>
        <v>1443034000</v>
      </c>
      <c r="V50" s="395">
        <f t="shared" ca="1" si="11"/>
        <v>0</v>
      </c>
      <c r="W50" s="395">
        <f t="shared" ca="1" si="12"/>
        <v>0</v>
      </c>
      <c r="X50" s="395">
        <f t="shared" ca="1" si="13"/>
        <v>0</v>
      </c>
      <c r="Y50" s="395">
        <f t="shared" ca="1" si="14"/>
        <v>0</v>
      </c>
      <c r="Z50" s="395">
        <f t="shared" ca="1" si="15"/>
        <v>0</v>
      </c>
      <c r="AA50" s="395">
        <f t="shared" ca="1" si="16"/>
        <v>0</v>
      </c>
      <c r="AB50" s="395">
        <f t="shared" ca="1" si="17"/>
        <v>0</v>
      </c>
      <c r="AC50" s="395">
        <f t="shared" ca="1" si="18"/>
        <v>0</v>
      </c>
      <c r="AD50" s="395">
        <f t="shared" ca="1" si="19"/>
        <v>0</v>
      </c>
      <c r="AE50" s="395">
        <f t="shared" ca="1" si="20"/>
        <v>0</v>
      </c>
      <c r="AF50" s="395">
        <f t="shared" ca="1" si="21"/>
        <v>0</v>
      </c>
      <c r="AG50" s="395">
        <f t="shared" ca="1" si="22"/>
        <v>0</v>
      </c>
      <c r="AH50" s="395">
        <f t="shared" ca="1" si="23"/>
        <v>0</v>
      </c>
      <c r="AI50" s="395">
        <f t="shared" ca="1" si="24"/>
        <v>0</v>
      </c>
      <c r="AJ50" s="395">
        <f t="shared" ca="1" si="25"/>
        <v>0</v>
      </c>
      <c r="AK50" s="395">
        <f t="shared" ca="1" si="26"/>
        <v>0</v>
      </c>
      <c r="AL50" s="395">
        <f t="shared" ca="1" si="27"/>
        <v>0</v>
      </c>
      <c r="AM50" s="395">
        <f t="shared" ca="1" si="28"/>
        <v>0</v>
      </c>
      <c r="AN50" s="395">
        <f t="shared" ca="1" si="29"/>
        <v>0</v>
      </c>
      <c r="AO50" s="395">
        <f t="shared" ca="1" si="30"/>
        <v>0</v>
      </c>
      <c r="AP50" s="395">
        <f t="shared" ca="1" si="31"/>
        <v>0</v>
      </c>
      <c r="AQ50" s="395">
        <f t="shared" ca="1" si="32"/>
        <v>0</v>
      </c>
      <c r="AR50" s="395">
        <f t="shared" ca="1" si="33"/>
        <v>0</v>
      </c>
      <c r="AS50" s="395">
        <f t="shared" ca="1" si="34"/>
        <v>0</v>
      </c>
      <c r="AT50" s="395">
        <f t="shared" ca="1" si="35"/>
        <v>0</v>
      </c>
      <c r="AU50" s="395">
        <f t="shared" ca="1" si="36"/>
        <v>0</v>
      </c>
      <c r="AV50" s="395">
        <f t="shared" ca="1" si="37"/>
        <v>0</v>
      </c>
      <c r="AW50" s="395">
        <f t="shared" ca="1" si="38"/>
        <v>0</v>
      </c>
    </row>
    <row r="51" spans="1:49" s="392" customFormat="1" ht="12" customHeight="1">
      <c r="A51" s="63">
        <f t="array" aca="1" ref="A51" ca="1">IF(C51&lt;&gt;0,SUM(($C$11:C51&lt;&gt;0)*1),"")</f>
        <v>41</v>
      </c>
      <c r="B51" s="393">
        <f ca="1">IF(ROWS($1:41)&gt;COUNT(Dong8),"",OFFSET(TH!C$1,SMALL(Dong8,ROWS($1:41)),))</f>
        <v>41877</v>
      </c>
      <c r="C51" s="393" t="str">
        <f ca="1">IF(ROWS($1:41)&gt;COUNT(Dong8),"",OFFSET(TH!D$1,SMALL(Dong8,ROWS($1:41)),))</f>
        <v>CTGS</v>
      </c>
      <c r="D51" s="393">
        <f ca="1">IF(ROWS($1:41)&gt;COUNT(Dong8),"",OFFSET(TH!E$1,SMALL(Dong8,ROWS($1:41)),))</f>
        <v>41877</v>
      </c>
      <c r="E51" s="443" t="str">
        <f ca="1">IF(ROWS($1:41)&gt;COUNT(Dong8),"",OFFSET(TH!F$1,SMALL(Dong8,ROWS($1:41)),))</f>
        <v>VAT Cọc bê tông</v>
      </c>
      <c r="F51" s="444">
        <f ca="1">IF(ROWS($1:41)&gt;COUNT(Dong8),"",OFFSET(TH!I$1,SMALL(Dong8,ROWS($1:41)),))</f>
        <v>144303400</v>
      </c>
      <c r="G51" s="456" t="str">
        <f ca="1">IF(ROWS($1:41)&gt;COUNT(Dong8),"",OFFSET(TH!J$1,SMALL(Dong8,ROWS($1:41)),))</f>
        <v>1331</v>
      </c>
      <c r="H51" s="456" t="str">
        <f ca="1">IF(ROWS($1:41)&gt;COUNT(Dong8),"",OFFSET(TH!K$1,SMALL(Dong8,ROWS($1:41)),))</f>
        <v>331</v>
      </c>
      <c r="I51" s="63">
        <f t="shared" ca="1" si="41"/>
        <v>41</v>
      </c>
      <c r="J51" s="395">
        <f t="shared" ca="1" si="1"/>
        <v>0</v>
      </c>
      <c r="K51" s="395">
        <f t="shared" ca="1" si="2"/>
        <v>0</v>
      </c>
      <c r="L51" s="395">
        <f t="shared" ca="1" si="3"/>
        <v>0</v>
      </c>
      <c r="M51" s="395">
        <f t="shared" ca="1" si="4"/>
        <v>0</v>
      </c>
      <c r="N51" s="395">
        <f t="shared" ca="1" si="5"/>
        <v>144303400</v>
      </c>
      <c r="O51" s="395">
        <f t="shared" ca="1" si="6"/>
        <v>0</v>
      </c>
      <c r="P51" s="395">
        <f t="shared" ca="1" si="7"/>
        <v>0</v>
      </c>
      <c r="Q51" s="395">
        <f t="shared" ca="1" si="8"/>
        <v>0</v>
      </c>
      <c r="R51" s="395">
        <f t="shared" ca="1" si="39"/>
        <v>0</v>
      </c>
      <c r="S51" s="395">
        <f t="shared" ca="1" si="40"/>
        <v>0</v>
      </c>
      <c r="T51" s="395">
        <f t="shared" ca="1" si="9"/>
        <v>0</v>
      </c>
      <c r="U51" s="395">
        <f t="shared" ca="1" si="10"/>
        <v>144303400</v>
      </c>
      <c r="V51" s="395">
        <f t="shared" ca="1" si="11"/>
        <v>0</v>
      </c>
      <c r="W51" s="395">
        <f t="shared" ca="1" si="12"/>
        <v>0</v>
      </c>
      <c r="X51" s="395">
        <f t="shared" ca="1" si="13"/>
        <v>0</v>
      </c>
      <c r="Y51" s="395">
        <f t="shared" ca="1" si="14"/>
        <v>0</v>
      </c>
      <c r="Z51" s="395">
        <f t="shared" ca="1" si="15"/>
        <v>0</v>
      </c>
      <c r="AA51" s="395">
        <f t="shared" ca="1" si="16"/>
        <v>0</v>
      </c>
      <c r="AB51" s="395">
        <f t="shared" ca="1" si="17"/>
        <v>0</v>
      </c>
      <c r="AC51" s="395">
        <f t="shared" ca="1" si="18"/>
        <v>0</v>
      </c>
      <c r="AD51" s="395">
        <f t="shared" ca="1" si="19"/>
        <v>0</v>
      </c>
      <c r="AE51" s="395">
        <f t="shared" ca="1" si="20"/>
        <v>0</v>
      </c>
      <c r="AF51" s="395">
        <f t="shared" ca="1" si="21"/>
        <v>0</v>
      </c>
      <c r="AG51" s="395">
        <f t="shared" ca="1" si="22"/>
        <v>0</v>
      </c>
      <c r="AH51" s="395">
        <f t="shared" ca="1" si="23"/>
        <v>0</v>
      </c>
      <c r="AI51" s="395">
        <f t="shared" ca="1" si="24"/>
        <v>0</v>
      </c>
      <c r="AJ51" s="395">
        <f t="shared" ca="1" si="25"/>
        <v>0</v>
      </c>
      <c r="AK51" s="395">
        <f t="shared" ca="1" si="26"/>
        <v>0</v>
      </c>
      <c r="AL51" s="395">
        <f t="shared" ca="1" si="27"/>
        <v>0</v>
      </c>
      <c r="AM51" s="395">
        <f t="shared" ca="1" si="28"/>
        <v>0</v>
      </c>
      <c r="AN51" s="395">
        <f t="shared" ca="1" si="29"/>
        <v>0</v>
      </c>
      <c r="AO51" s="395">
        <f t="shared" ca="1" si="30"/>
        <v>0</v>
      </c>
      <c r="AP51" s="395">
        <f t="shared" ca="1" si="31"/>
        <v>0</v>
      </c>
      <c r="AQ51" s="395">
        <f t="shared" ca="1" si="32"/>
        <v>0</v>
      </c>
      <c r="AR51" s="395">
        <f t="shared" ca="1" si="33"/>
        <v>0</v>
      </c>
      <c r="AS51" s="395">
        <f t="shared" ca="1" si="34"/>
        <v>0</v>
      </c>
      <c r="AT51" s="395">
        <f t="shared" ca="1" si="35"/>
        <v>0</v>
      </c>
      <c r="AU51" s="395">
        <f t="shared" ca="1" si="36"/>
        <v>0</v>
      </c>
      <c r="AV51" s="395">
        <f t="shared" ca="1" si="37"/>
        <v>0</v>
      </c>
      <c r="AW51" s="395">
        <f t="shared" ca="1" si="38"/>
        <v>0</v>
      </c>
    </row>
    <row r="52" spans="1:49" s="392" customFormat="1" ht="12" customHeight="1">
      <c r="A52" s="63">
        <f t="array" aca="1" ref="A52" ca="1">IF(C52&lt;&gt;0,SUM(($C$11:C52&lt;&gt;0)*1),"")</f>
        <v>42</v>
      </c>
      <c r="B52" s="393">
        <f ca="1">IF(ROWS($1:42)&gt;COUNT(Dong8),"",OFFSET(TH!C$1,SMALL(Dong8,ROWS($1:42)),))</f>
        <v>41894</v>
      </c>
      <c r="C52" s="393" t="str">
        <f ca="1">IF(ROWS($1:42)&gt;COUNT(Dong8),"",OFFSET(TH!D$1,SMALL(Dong8,ROWS($1:42)),))</f>
        <v>GBN</v>
      </c>
      <c r="D52" s="393">
        <f ca="1">IF(ROWS($1:42)&gt;COUNT(Dong8),"",OFFSET(TH!E$1,SMALL(Dong8,ROWS($1:42)),))</f>
        <v>41894</v>
      </c>
      <c r="E52" s="443" t="str">
        <f ca="1">IF(ROWS($1:42)&gt;COUNT(Dong8),"",OFFSET(TH!F$1,SMALL(Dong8,ROWS($1:42)),))</f>
        <v>Ứng tiền cọc betong Tân Tài</v>
      </c>
      <c r="F52" s="444">
        <f ca="1">IF(ROWS($1:42)&gt;COUNT(Dong8),"",OFFSET(TH!I$1,SMALL(Dong8,ROWS($1:42)),))</f>
        <v>50000000</v>
      </c>
      <c r="G52" s="456" t="str">
        <f ca="1">IF(ROWS($1:42)&gt;COUNT(Dong8),"",OFFSET(TH!J$1,SMALL(Dong8,ROWS($1:42)),))</f>
        <v>331</v>
      </c>
      <c r="H52" s="456" t="str">
        <f ca="1">IF(ROWS($1:42)&gt;COUNT(Dong8),"",OFFSET(TH!K$1,SMALL(Dong8,ROWS($1:42)),))</f>
        <v>1121</v>
      </c>
      <c r="I52" s="63">
        <f t="shared" ca="1" si="41"/>
        <v>42</v>
      </c>
      <c r="J52" s="395">
        <f t="shared" ca="1" si="1"/>
        <v>0</v>
      </c>
      <c r="K52" s="395">
        <f t="shared" ca="1" si="2"/>
        <v>0</v>
      </c>
      <c r="L52" s="395">
        <f t="shared" ca="1" si="3"/>
        <v>0</v>
      </c>
      <c r="M52" s="395">
        <f t="shared" ca="1" si="4"/>
        <v>50000000</v>
      </c>
      <c r="N52" s="395">
        <f t="shared" ca="1" si="5"/>
        <v>0</v>
      </c>
      <c r="O52" s="395">
        <f t="shared" ca="1" si="6"/>
        <v>0</v>
      </c>
      <c r="P52" s="395">
        <f t="shared" ca="1" si="7"/>
        <v>0</v>
      </c>
      <c r="Q52" s="395">
        <f t="shared" ca="1" si="8"/>
        <v>0</v>
      </c>
      <c r="R52" s="395">
        <f t="shared" ca="1" si="39"/>
        <v>0</v>
      </c>
      <c r="S52" s="395">
        <f t="shared" ca="1" si="40"/>
        <v>0</v>
      </c>
      <c r="T52" s="395">
        <f t="shared" ca="1" si="9"/>
        <v>50000000</v>
      </c>
      <c r="U52" s="395">
        <f t="shared" ca="1" si="10"/>
        <v>0</v>
      </c>
      <c r="V52" s="395">
        <f t="shared" ca="1" si="11"/>
        <v>0</v>
      </c>
      <c r="W52" s="395">
        <f t="shared" ca="1" si="12"/>
        <v>0</v>
      </c>
      <c r="X52" s="395">
        <f t="shared" ca="1" si="13"/>
        <v>0</v>
      </c>
      <c r="Y52" s="395">
        <f t="shared" ca="1" si="14"/>
        <v>0</v>
      </c>
      <c r="Z52" s="395">
        <f t="shared" ca="1" si="15"/>
        <v>0</v>
      </c>
      <c r="AA52" s="395">
        <f t="shared" ca="1" si="16"/>
        <v>0</v>
      </c>
      <c r="AB52" s="395">
        <f t="shared" ca="1" si="17"/>
        <v>0</v>
      </c>
      <c r="AC52" s="395">
        <f t="shared" ca="1" si="18"/>
        <v>0</v>
      </c>
      <c r="AD52" s="395">
        <f t="shared" ca="1" si="19"/>
        <v>0</v>
      </c>
      <c r="AE52" s="395">
        <f t="shared" ca="1" si="20"/>
        <v>0</v>
      </c>
      <c r="AF52" s="395">
        <f t="shared" ca="1" si="21"/>
        <v>0</v>
      </c>
      <c r="AG52" s="395">
        <f t="shared" ca="1" si="22"/>
        <v>0</v>
      </c>
      <c r="AH52" s="395">
        <f t="shared" ca="1" si="23"/>
        <v>0</v>
      </c>
      <c r="AI52" s="395">
        <f t="shared" ca="1" si="24"/>
        <v>0</v>
      </c>
      <c r="AJ52" s="395">
        <f t="shared" ca="1" si="25"/>
        <v>0</v>
      </c>
      <c r="AK52" s="395">
        <f t="shared" ca="1" si="26"/>
        <v>0</v>
      </c>
      <c r="AL52" s="395">
        <f t="shared" ca="1" si="27"/>
        <v>0</v>
      </c>
      <c r="AM52" s="395">
        <f t="shared" ca="1" si="28"/>
        <v>0</v>
      </c>
      <c r="AN52" s="395">
        <f t="shared" ca="1" si="29"/>
        <v>0</v>
      </c>
      <c r="AO52" s="395">
        <f t="shared" ca="1" si="30"/>
        <v>0</v>
      </c>
      <c r="AP52" s="395">
        <f t="shared" ca="1" si="31"/>
        <v>0</v>
      </c>
      <c r="AQ52" s="395">
        <f t="shared" ca="1" si="32"/>
        <v>0</v>
      </c>
      <c r="AR52" s="395">
        <f t="shared" ca="1" si="33"/>
        <v>0</v>
      </c>
      <c r="AS52" s="395">
        <f t="shared" ca="1" si="34"/>
        <v>0</v>
      </c>
      <c r="AT52" s="395">
        <f t="shared" ca="1" si="35"/>
        <v>0</v>
      </c>
      <c r="AU52" s="395">
        <f t="shared" ca="1" si="36"/>
        <v>0</v>
      </c>
      <c r="AV52" s="395">
        <f t="shared" ca="1" si="37"/>
        <v>0</v>
      </c>
      <c r="AW52" s="395">
        <f t="shared" ca="1" si="38"/>
        <v>0</v>
      </c>
    </row>
    <row r="53" spans="1:49" s="392" customFormat="1" ht="12" customHeight="1">
      <c r="A53" s="63">
        <f t="array" aca="1" ref="A53" ca="1">IF(C53&lt;&gt;0,SUM(($C$11:C53&lt;&gt;0)*1),"")</f>
        <v>43</v>
      </c>
      <c r="B53" s="393">
        <f ca="1">IF(ROWS($1:43)&gt;COUNT(Dong8),"",OFFSET(TH!C$1,SMALL(Dong8,ROWS($1:43)),))</f>
        <v>41894</v>
      </c>
      <c r="C53" s="393" t="str">
        <f ca="1">IF(ROWS($1:43)&gt;COUNT(Dong8),"",OFFSET(TH!D$1,SMALL(Dong8,ROWS($1:43)),))</f>
        <v>GBN</v>
      </c>
      <c r="D53" s="393">
        <f ca="1">IF(ROWS($1:43)&gt;COUNT(Dong8),"",OFFSET(TH!E$1,SMALL(Dong8,ROWS($1:43)),))</f>
        <v>41894</v>
      </c>
      <c r="E53" s="443" t="str">
        <f ca="1">IF(ROWS($1:43)&gt;COUNT(Dong8),"",OFFSET(TH!F$1,SMALL(Dong8,ROWS($1:43)),))</f>
        <v xml:space="preserve">Phí chuyển tiền </v>
      </c>
      <c r="F53" s="444">
        <f ca="1">IF(ROWS($1:43)&gt;COUNT(Dong8),"",OFFSET(TH!I$1,SMALL(Dong8,ROWS($1:43)),))</f>
        <v>25000</v>
      </c>
      <c r="G53" s="456" t="str">
        <f ca="1">IF(ROWS($1:43)&gt;COUNT(Dong8),"",OFFSET(TH!J$1,SMALL(Dong8,ROWS($1:43)),))</f>
        <v>642</v>
      </c>
      <c r="H53" s="456" t="str">
        <f ca="1">IF(ROWS($1:43)&gt;COUNT(Dong8),"",OFFSET(TH!K$1,SMALL(Dong8,ROWS($1:43)),))</f>
        <v>1121</v>
      </c>
      <c r="I53" s="63">
        <f t="shared" ca="1" si="41"/>
        <v>43</v>
      </c>
      <c r="J53" s="395">
        <f t="shared" ca="1" si="1"/>
        <v>0</v>
      </c>
      <c r="K53" s="395">
        <f t="shared" ca="1" si="2"/>
        <v>0</v>
      </c>
      <c r="L53" s="395">
        <f t="shared" ca="1" si="3"/>
        <v>0</v>
      </c>
      <c r="M53" s="395">
        <f t="shared" ca="1" si="4"/>
        <v>25000</v>
      </c>
      <c r="N53" s="395">
        <f t="shared" ca="1" si="5"/>
        <v>0</v>
      </c>
      <c r="O53" s="395">
        <f t="shared" ca="1" si="6"/>
        <v>0</v>
      </c>
      <c r="P53" s="395">
        <f t="shared" ca="1" si="7"/>
        <v>0</v>
      </c>
      <c r="Q53" s="395">
        <f t="shared" ca="1" si="8"/>
        <v>0</v>
      </c>
      <c r="R53" s="395">
        <f t="shared" ca="1" si="39"/>
        <v>0</v>
      </c>
      <c r="S53" s="395">
        <f t="shared" ca="1" si="40"/>
        <v>0</v>
      </c>
      <c r="T53" s="395">
        <f t="shared" ca="1" si="9"/>
        <v>0</v>
      </c>
      <c r="U53" s="395">
        <f t="shared" ca="1" si="10"/>
        <v>0</v>
      </c>
      <c r="V53" s="395">
        <f t="shared" ca="1" si="11"/>
        <v>0</v>
      </c>
      <c r="W53" s="395">
        <f t="shared" ca="1" si="12"/>
        <v>0</v>
      </c>
      <c r="X53" s="395">
        <f t="shared" ca="1" si="13"/>
        <v>0</v>
      </c>
      <c r="Y53" s="395">
        <f t="shared" ca="1" si="14"/>
        <v>0</v>
      </c>
      <c r="Z53" s="395">
        <f t="shared" ca="1" si="15"/>
        <v>0</v>
      </c>
      <c r="AA53" s="395">
        <f t="shared" ca="1" si="16"/>
        <v>0</v>
      </c>
      <c r="AB53" s="395">
        <f t="shared" ca="1" si="17"/>
        <v>0</v>
      </c>
      <c r="AC53" s="395">
        <f t="shared" ca="1" si="18"/>
        <v>0</v>
      </c>
      <c r="AD53" s="395">
        <f t="shared" ca="1" si="19"/>
        <v>0</v>
      </c>
      <c r="AE53" s="395">
        <f t="shared" ca="1" si="20"/>
        <v>0</v>
      </c>
      <c r="AF53" s="395">
        <f t="shared" ca="1" si="21"/>
        <v>0</v>
      </c>
      <c r="AG53" s="395">
        <f t="shared" ca="1" si="22"/>
        <v>0</v>
      </c>
      <c r="AH53" s="395">
        <f t="shared" ca="1" si="23"/>
        <v>0</v>
      </c>
      <c r="AI53" s="395">
        <f t="shared" ca="1" si="24"/>
        <v>0</v>
      </c>
      <c r="AJ53" s="395">
        <f t="shared" ca="1" si="25"/>
        <v>0</v>
      </c>
      <c r="AK53" s="395">
        <f t="shared" ca="1" si="26"/>
        <v>0</v>
      </c>
      <c r="AL53" s="395">
        <f t="shared" ca="1" si="27"/>
        <v>0</v>
      </c>
      <c r="AM53" s="395">
        <f t="shared" ca="1" si="28"/>
        <v>0</v>
      </c>
      <c r="AN53" s="395">
        <f t="shared" ca="1" si="29"/>
        <v>25000</v>
      </c>
      <c r="AO53" s="395">
        <f t="shared" ca="1" si="30"/>
        <v>0</v>
      </c>
      <c r="AP53" s="395">
        <f t="shared" ca="1" si="31"/>
        <v>0</v>
      </c>
      <c r="AQ53" s="395">
        <f t="shared" ca="1" si="32"/>
        <v>0</v>
      </c>
      <c r="AR53" s="395">
        <f t="shared" ca="1" si="33"/>
        <v>0</v>
      </c>
      <c r="AS53" s="395">
        <f t="shared" ca="1" si="34"/>
        <v>0</v>
      </c>
      <c r="AT53" s="395">
        <f t="shared" ca="1" si="35"/>
        <v>0</v>
      </c>
      <c r="AU53" s="395">
        <f t="shared" ca="1" si="36"/>
        <v>0</v>
      </c>
      <c r="AV53" s="395">
        <f t="shared" ca="1" si="37"/>
        <v>0</v>
      </c>
      <c r="AW53" s="395">
        <f t="shared" ca="1" si="38"/>
        <v>0</v>
      </c>
    </row>
    <row r="54" spans="1:49" s="392" customFormat="1" ht="12" customHeight="1">
      <c r="A54" s="63">
        <f t="array" aca="1" ref="A54" ca="1">IF(C54&lt;&gt;0,SUM(($C$11:C54&lt;&gt;0)*1),"")</f>
        <v>44</v>
      </c>
      <c r="B54" s="393">
        <f ca="1">IF(ROWS($1:44)&gt;COUNT(Dong8),"",OFFSET(TH!C$1,SMALL(Dong8,ROWS($1:44)),))</f>
        <v>41894</v>
      </c>
      <c r="C54" s="393" t="str">
        <f ca="1">IF(ROWS($1:44)&gt;COUNT(Dong8),"",OFFSET(TH!D$1,SMALL(Dong8,ROWS($1:44)),))</f>
        <v>GBN</v>
      </c>
      <c r="D54" s="393">
        <f ca="1">IF(ROWS($1:44)&gt;COUNT(Dong8),"",OFFSET(TH!E$1,SMALL(Dong8,ROWS($1:44)),))</f>
        <v>41894</v>
      </c>
      <c r="E54" s="443" t="str">
        <f ca="1">IF(ROWS($1:44)&gt;COUNT(Dong8),"",OFFSET(TH!F$1,SMALL(Dong8,ROWS($1:44)),))</f>
        <v xml:space="preserve">VAT Phí chuyển tiền </v>
      </c>
      <c r="F54" s="444">
        <f ca="1">IF(ROWS($1:44)&gt;COUNT(Dong8),"",OFFSET(TH!I$1,SMALL(Dong8,ROWS($1:44)),))</f>
        <v>2500</v>
      </c>
      <c r="G54" s="456" t="str">
        <f ca="1">IF(ROWS($1:44)&gt;COUNT(Dong8),"",OFFSET(TH!J$1,SMALL(Dong8,ROWS($1:44)),))</f>
        <v>1331</v>
      </c>
      <c r="H54" s="456" t="str">
        <f ca="1">IF(ROWS($1:44)&gt;COUNT(Dong8),"",OFFSET(TH!K$1,SMALL(Dong8,ROWS($1:44)),))</f>
        <v>1121</v>
      </c>
      <c r="I54" s="63">
        <f t="shared" ca="1" si="41"/>
        <v>44</v>
      </c>
      <c r="J54" s="395">
        <f t="shared" ca="1" si="1"/>
        <v>0</v>
      </c>
      <c r="K54" s="395">
        <f t="shared" ca="1" si="2"/>
        <v>0</v>
      </c>
      <c r="L54" s="395">
        <f t="shared" ca="1" si="3"/>
        <v>0</v>
      </c>
      <c r="M54" s="395">
        <f t="shared" ca="1" si="4"/>
        <v>2500</v>
      </c>
      <c r="N54" s="395">
        <f t="shared" ca="1" si="5"/>
        <v>2500</v>
      </c>
      <c r="O54" s="395">
        <f t="shared" ca="1" si="6"/>
        <v>0</v>
      </c>
      <c r="P54" s="395">
        <f t="shared" ca="1" si="7"/>
        <v>0</v>
      </c>
      <c r="Q54" s="395">
        <f t="shared" ca="1" si="8"/>
        <v>0</v>
      </c>
      <c r="R54" s="395">
        <f t="shared" ca="1" si="39"/>
        <v>0</v>
      </c>
      <c r="S54" s="395">
        <f t="shared" ca="1" si="40"/>
        <v>0</v>
      </c>
      <c r="T54" s="395">
        <f t="shared" ca="1" si="9"/>
        <v>0</v>
      </c>
      <c r="U54" s="395">
        <f t="shared" ca="1" si="10"/>
        <v>0</v>
      </c>
      <c r="V54" s="395">
        <f t="shared" ca="1" si="11"/>
        <v>0</v>
      </c>
      <c r="W54" s="395">
        <f t="shared" ca="1" si="12"/>
        <v>0</v>
      </c>
      <c r="X54" s="395">
        <f t="shared" ca="1" si="13"/>
        <v>0</v>
      </c>
      <c r="Y54" s="395">
        <f t="shared" ca="1" si="14"/>
        <v>0</v>
      </c>
      <c r="Z54" s="395">
        <f t="shared" ca="1" si="15"/>
        <v>0</v>
      </c>
      <c r="AA54" s="395">
        <f t="shared" ca="1" si="16"/>
        <v>0</v>
      </c>
      <c r="AB54" s="395">
        <f t="shared" ca="1" si="17"/>
        <v>0</v>
      </c>
      <c r="AC54" s="395">
        <f t="shared" ca="1" si="18"/>
        <v>0</v>
      </c>
      <c r="AD54" s="395">
        <f t="shared" ca="1" si="19"/>
        <v>0</v>
      </c>
      <c r="AE54" s="395">
        <f t="shared" ca="1" si="20"/>
        <v>0</v>
      </c>
      <c r="AF54" s="395">
        <f t="shared" ca="1" si="21"/>
        <v>0</v>
      </c>
      <c r="AG54" s="395">
        <f t="shared" ca="1" si="22"/>
        <v>0</v>
      </c>
      <c r="AH54" s="395">
        <f t="shared" ca="1" si="23"/>
        <v>0</v>
      </c>
      <c r="AI54" s="395">
        <f t="shared" ca="1" si="24"/>
        <v>0</v>
      </c>
      <c r="AJ54" s="395">
        <f t="shared" ca="1" si="25"/>
        <v>0</v>
      </c>
      <c r="AK54" s="395">
        <f t="shared" ca="1" si="26"/>
        <v>0</v>
      </c>
      <c r="AL54" s="395">
        <f t="shared" ca="1" si="27"/>
        <v>0</v>
      </c>
      <c r="AM54" s="395">
        <f t="shared" ca="1" si="28"/>
        <v>0</v>
      </c>
      <c r="AN54" s="395">
        <f t="shared" ca="1" si="29"/>
        <v>0</v>
      </c>
      <c r="AO54" s="395">
        <f t="shared" ca="1" si="30"/>
        <v>0</v>
      </c>
      <c r="AP54" s="395">
        <f t="shared" ca="1" si="31"/>
        <v>0</v>
      </c>
      <c r="AQ54" s="395">
        <f t="shared" ca="1" si="32"/>
        <v>0</v>
      </c>
      <c r="AR54" s="395">
        <f t="shared" ca="1" si="33"/>
        <v>0</v>
      </c>
      <c r="AS54" s="395">
        <f t="shared" ca="1" si="34"/>
        <v>0</v>
      </c>
      <c r="AT54" s="395">
        <f t="shared" ca="1" si="35"/>
        <v>0</v>
      </c>
      <c r="AU54" s="395">
        <f t="shared" ca="1" si="36"/>
        <v>0</v>
      </c>
      <c r="AV54" s="395">
        <f t="shared" ca="1" si="37"/>
        <v>0</v>
      </c>
      <c r="AW54" s="395">
        <f t="shared" ca="1" si="38"/>
        <v>0</v>
      </c>
    </row>
    <row r="55" spans="1:49" s="392" customFormat="1" ht="12" customHeight="1">
      <c r="A55" s="63">
        <f t="array" aca="1" ref="A55" ca="1">IF(C55&lt;&gt;0,SUM(($C$11:C55&lt;&gt;0)*1),"")</f>
        <v>45</v>
      </c>
      <c r="B55" s="393">
        <f ca="1">IF(ROWS($1:45)&gt;COUNT(Dong8),"",OFFSET(TH!C$1,SMALL(Dong8,ROWS($1:45)),))</f>
        <v>41905</v>
      </c>
      <c r="C55" s="393" t="str">
        <f ca="1">IF(ROWS($1:45)&gt;COUNT(Dong8),"",OFFSET(TH!D$1,SMALL(Dong8,ROWS($1:45)),))</f>
        <v>C15</v>
      </c>
      <c r="D55" s="393">
        <f ca="1">IF(ROWS($1:45)&gt;COUNT(Dong8),"",OFFSET(TH!E$1,SMALL(Dong8,ROWS($1:45)),))</f>
        <v>41905</v>
      </c>
      <c r="E55" s="443" t="str">
        <f ca="1">IF(ROWS($1:45)&gt;COUNT(Dong8),"",OFFSET(TH!F$1,SMALL(Dong8,ROWS($1:45)),))</f>
        <v>Hoàn trả tiền mượn chuyển khoản</v>
      </c>
      <c r="F55" s="444">
        <f ca="1">IF(ROWS($1:45)&gt;COUNT(Dong8),"",OFFSET(TH!I$1,SMALL(Dong8,ROWS($1:45)),))</f>
        <v>9000000</v>
      </c>
      <c r="G55" s="456" t="str">
        <f ca="1">IF(ROWS($1:45)&gt;COUNT(Dong8),"",OFFSET(TH!J$1,SMALL(Dong8,ROWS($1:45)),))</f>
        <v>3388</v>
      </c>
      <c r="H55" s="456" t="str">
        <f ca="1">IF(ROWS($1:45)&gt;COUNT(Dong8),"",OFFSET(TH!K$1,SMALL(Dong8,ROWS($1:45)),))</f>
        <v>1111</v>
      </c>
      <c r="I55" s="63">
        <f t="shared" ca="1" si="41"/>
        <v>45</v>
      </c>
      <c r="J55" s="395">
        <f t="shared" ca="1" si="1"/>
        <v>0</v>
      </c>
      <c r="K55" s="395">
        <f t="shared" ca="1" si="2"/>
        <v>9000000</v>
      </c>
      <c r="L55" s="395">
        <f t="shared" ca="1" si="3"/>
        <v>0</v>
      </c>
      <c r="M55" s="395">
        <f t="shared" ca="1" si="4"/>
        <v>0</v>
      </c>
      <c r="N55" s="395">
        <f t="shared" ca="1" si="5"/>
        <v>0</v>
      </c>
      <c r="O55" s="395">
        <f t="shared" ca="1" si="6"/>
        <v>0</v>
      </c>
      <c r="P55" s="395">
        <f t="shared" ca="1" si="7"/>
        <v>0</v>
      </c>
      <c r="Q55" s="395">
        <f t="shared" ca="1" si="8"/>
        <v>0</v>
      </c>
      <c r="R55" s="395">
        <f t="shared" ca="1" si="39"/>
        <v>0</v>
      </c>
      <c r="S55" s="395">
        <f t="shared" ca="1" si="40"/>
        <v>0</v>
      </c>
      <c r="T55" s="395">
        <f t="shared" ca="1" si="9"/>
        <v>0</v>
      </c>
      <c r="U55" s="395">
        <f t="shared" ca="1" si="10"/>
        <v>0</v>
      </c>
      <c r="V55" s="395">
        <f t="shared" ca="1" si="11"/>
        <v>0</v>
      </c>
      <c r="W55" s="395">
        <f t="shared" ca="1" si="12"/>
        <v>0</v>
      </c>
      <c r="X55" s="395">
        <f t="shared" ca="1" si="13"/>
        <v>0</v>
      </c>
      <c r="Y55" s="395">
        <f t="shared" ca="1" si="14"/>
        <v>0</v>
      </c>
      <c r="Z55" s="395">
        <f t="shared" ca="1" si="15"/>
        <v>9000000</v>
      </c>
      <c r="AA55" s="395">
        <f t="shared" ca="1" si="16"/>
        <v>0</v>
      </c>
      <c r="AB55" s="395">
        <f t="shared" ca="1" si="17"/>
        <v>0</v>
      </c>
      <c r="AC55" s="395">
        <f t="shared" ca="1" si="18"/>
        <v>0</v>
      </c>
      <c r="AD55" s="395">
        <f t="shared" ca="1" si="19"/>
        <v>0</v>
      </c>
      <c r="AE55" s="395">
        <f t="shared" ca="1" si="20"/>
        <v>0</v>
      </c>
      <c r="AF55" s="395">
        <f t="shared" ca="1" si="21"/>
        <v>0</v>
      </c>
      <c r="AG55" s="395">
        <f t="shared" ca="1" si="22"/>
        <v>0</v>
      </c>
      <c r="AH55" s="395">
        <f t="shared" ca="1" si="23"/>
        <v>0</v>
      </c>
      <c r="AI55" s="395">
        <f t="shared" ca="1" si="24"/>
        <v>0</v>
      </c>
      <c r="AJ55" s="395">
        <f t="shared" ca="1" si="25"/>
        <v>0</v>
      </c>
      <c r="AK55" s="395">
        <f t="shared" ca="1" si="26"/>
        <v>0</v>
      </c>
      <c r="AL55" s="395">
        <f t="shared" ca="1" si="27"/>
        <v>0</v>
      </c>
      <c r="AM55" s="395">
        <f t="shared" ca="1" si="28"/>
        <v>0</v>
      </c>
      <c r="AN55" s="395">
        <f t="shared" ca="1" si="29"/>
        <v>0</v>
      </c>
      <c r="AO55" s="395">
        <f t="shared" ca="1" si="30"/>
        <v>0</v>
      </c>
      <c r="AP55" s="395">
        <f t="shared" ca="1" si="31"/>
        <v>0</v>
      </c>
      <c r="AQ55" s="395">
        <f t="shared" ca="1" si="32"/>
        <v>0</v>
      </c>
      <c r="AR55" s="395">
        <f t="shared" ca="1" si="33"/>
        <v>0</v>
      </c>
      <c r="AS55" s="395">
        <f t="shared" ca="1" si="34"/>
        <v>0</v>
      </c>
      <c r="AT55" s="395">
        <f t="shared" ca="1" si="35"/>
        <v>0</v>
      </c>
      <c r="AU55" s="395">
        <f t="shared" ca="1" si="36"/>
        <v>0</v>
      </c>
      <c r="AV55" s="395">
        <f t="shared" ca="1" si="37"/>
        <v>0</v>
      </c>
      <c r="AW55" s="395">
        <f t="shared" ca="1" si="38"/>
        <v>0</v>
      </c>
    </row>
    <row r="56" spans="1:49" s="392" customFormat="1" ht="12" customHeight="1">
      <c r="A56" s="63">
        <f t="array" aca="1" ref="A56" ca="1">IF(C56&lt;&gt;0,SUM(($C$11:C56&lt;&gt;0)*1),"")</f>
        <v>46</v>
      </c>
      <c r="B56" s="393">
        <f ca="1">IF(ROWS($1:46)&gt;COUNT(Dong8),"",OFFSET(TH!C$1,SMALL(Dong8,ROWS($1:46)),))</f>
        <v>41905</v>
      </c>
      <c r="C56" s="393" t="str">
        <f ca="1">IF(ROWS($1:46)&gt;COUNT(Dong8),"",OFFSET(TH!D$1,SMALL(Dong8,ROWS($1:46)),))</f>
        <v>GBC</v>
      </c>
      <c r="D56" s="393">
        <f ca="1">IF(ROWS($1:46)&gt;COUNT(Dong8),"",OFFSET(TH!E$1,SMALL(Dong8,ROWS($1:46)),))</f>
        <v>41905</v>
      </c>
      <c r="E56" s="443" t="str">
        <f ca="1">IF(ROWS($1:46)&gt;COUNT(Dong8),"",OFFSET(TH!F$1,SMALL(Dong8,ROWS($1:46)),))</f>
        <v>An Lạc LA- Ứng vốn</v>
      </c>
      <c r="F56" s="444">
        <f ca="1">IF(ROWS($1:46)&gt;COUNT(Dong8),"",OFFSET(TH!I$1,SMALL(Dong8,ROWS($1:46)),))</f>
        <v>9000000</v>
      </c>
      <c r="G56" s="456" t="str">
        <f ca="1">IF(ROWS($1:46)&gt;COUNT(Dong8),"",OFFSET(TH!J$1,SMALL(Dong8,ROWS($1:46)),))</f>
        <v>1121</v>
      </c>
      <c r="H56" s="456" t="str">
        <f ca="1">IF(ROWS($1:46)&gt;COUNT(Dong8),"",OFFSET(TH!K$1,SMALL(Dong8,ROWS($1:46)),))</f>
        <v>3388</v>
      </c>
      <c r="I56" s="63">
        <f t="shared" ca="1" si="41"/>
        <v>46</v>
      </c>
      <c r="J56" s="395">
        <f t="shared" ca="1" si="1"/>
        <v>0</v>
      </c>
      <c r="K56" s="395">
        <f t="shared" ca="1" si="2"/>
        <v>0</v>
      </c>
      <c r="L56" s="395">
        <f t="shared" ca="1" si="3"/>
        <v>9000000</v>
      </c>
      <c r="M56" s="395">
        <f t="shared" ca="1" si="4"/>
        <v>0</v>
      </c>
      <c r="N56" s="395">
        <f t="shared" ca="1" si="5"/>
        <v>0</v>
      </c>
      <c r="O56" s="395">
        <f t="shared" ca="1" si="6"/>
        <v>0</v>
      </c>
      <c r="P56" s="395">
        <f t="shared" ca="1" si="7"/>
        <v>0</v>
      </c>
      <c r="Q56" s="395">
        <f t="shared" ca="1" si="8"/>
        <v>0</v>
      </c>
      <c r="R56" s="395">
        <f t="shared" ca="1" si="39"/>
        <v>0</v>
      </c>
      <c r="S56" s="395">
        <f t="shared" ca="1" si="40"/>
        <v>0</v>
      </c>
      <c r="T56" s="395">
        <f t="shared" ca="1" si="9"/>
        <v>0</v>
      </c>
      <c r="U56" s="395">
        <f t="shared" ca="1" si="10"/>
        <v>0</v>
      </c>
      <c r="V56" s="395">
        <f t="shared" ca="1" si="11"/>
        <v>0</v>
      </c>
      <c r="W56" s="395">
        <f t="shared" ca="1" si="12"/>
        <v>0</v>
      </c>
      <c r="X56" s="395">
        <f t="shared" ca="1" si="13"/>
        <v>0</v>
      </c>
      <c r="Y56" s="395">
        <f t="shared" ca="1" si="14"/>
        <v>0</v>
      </c>
      <c r="Z56" s="395">
        <f t="shared" ca="1" si="15"/>
        <v>0</v>
      </c>
      <c r="AA56" s="395">
        <f t="shared" ca="1" si="16"/>
        <v>9000000</v>
      </c>
      <c r="AB56" s="395">
        <f t="shared" ca="1" si="17"/>
        <v>0</v>
      </c>
      <c r="AC56" s="395">
        <f t="shared" ca="1" si="18"/>
        <v>0</v>
      </c>
      <c r="AD56" s="395">
        <f t="shared" ca="1" si="19"/>
        <v>0</v>
      </c>
      <c r="AE56" s="395">
        <f t="shared" ca="1" si="20"/>
        <v>0</v>
      </c>
      <c r="AF56" s="395">
        <f t="shared" ca="1" si="21"/>
        <v>0</v>
      </c>
      <c r="AG56" s="395">
        <f t="shared" ca="1" si="22"/>
        <v>0</v>
      </c>
      <c r="AH56" s="395">
        <f t="shared" ca="1" si="23"/>
        <v>0</v>
      </c>
      <c r="AI56" s="395">
        <f t="shared" ca="1" si="24"/>
        <v>0</v>
      </c>
      <c r="AJ56" s="395">
        <f t="shared" ca="1" si="25"/>
        <v>0</v>
      </c>
      <c r="AK56" s="395">
        <f t="shared" ca="1" si="26"/>
        <v>0</v>
      </c>
      <c r="AL56" s="395">
        <f t="shared" ca="1" si="27"/>
        <v>0</v>
      </c>
      <c r="AM56" s="395">
        <f t="shared" ca="1" si="28"/>
        <v>0</v>
      </c>
      <c r="AN56" s="395">
        <f t="shared" ca="1" si="29"/>
        <v>0</v>
      </c>
      <c r="AO56" s="395">
        <f t="shared" ca="1" si="30"/>
        <v>0</v>
      </c>
      <c r="AP56" s="395">
        <f t="shared" ca="1" si="31"/>
        <v>0</v>
      </c>
      <c r="AQ56" s="395">
        <f t="shared" ca="1" si="32"/>
        <v>0</v>
      </c>
      <c r="AR56" s="395">
        <f t="shared" ca="1" si="33"/>
        <v>0</v>
      </c>
      <c r="AS56" s="395">
        <f t="shared" ca="1" si="34"/>
        <v>0</v>
      </c>
      <c r="AT56" s="395">
        <f t="shared" ca="1" si="35"/>
        <v>0</v>
      </c>
      <c r="AU56" s="395">
        <f t="shared" ca="1" si="36"/>
        <v>0</v>
      </c>
      <c r="AV56" s="395">
        <f t="shared" ca="1" si="37"/>
        <v>0</v>
      </c>
      <c r="AW56" s="395">
        <f t="shared" ca="1" si="38"/>
        <v>0</v>
      </c>
    </row>
    <row r="57" spans="1:49" s="392" customFormat="1" ht="12" customHeight="1">
      <c r="A57" s="63">
        <f t="array" aca="1" ref="A57" ca="1">IF(C57&lt;&gt;0,SUM(($C$11:C57&lt;&gt;0)*1),"")</f>
        <v>47</v>
      </c>
      <c r="B57" s="393">
        <f ca="1">IF(ROWS($1:47)&gt;COUNT(Dong8),"",OFFSET(TH!C$1,SMALL(Dong8,ROWS($1:47)),))</f>
        <v>41905</v>
      </c>
      <c r="C57" s="393" t="str">
        <f ca="1">IF(ROWS($1:47)&gt;COUNT(Dong8),"",OFFSET(TH!D$1,SMALL(Dong8,ROWS($1:47)),))</f>
        <v>GBN</v>
      </c>
      <c r="D57" s="393">
        <f ca="1">IF(ROWS($1:47)&gt;COUNT(Dong8),"",OFFSET(TH!E$1,SMALL(Dong8,ROWS($1:47)),))</f>
        <v>41905</v>
      </c>
      <c r="E57" s="443" t="str">
        <f ca="1">IF(ROWS($1:47)&gt;COUNT(Dong8),"",OFFSET(TH!F$1,SMALL(Dong8,ROWS($1:47)),))</f>
        <v>Lãi vay KU 1402LDS201401630</v>
      </c>
      <c r="F57" s="444">
        <f ca="1">IF(ROWS($1:47)&gt;COUNT(Dong8),"",OFFSET(TH!I$1,SMALL(Dong8,ROWS($1:47)),))</f>
        <v>8625463</v>
      </c>
      <c r="G57" s="456" t="str">
        <f ca="1">IF(ROWS($1:47)&gt;COUNT(Dong8),"",OFFSET(TH!J$1,SMALL(Dong8,ROWS($1:47)),))</f>
        <v>635</v>
      </c>
      <c r="H57" s="456" t="str">
        <f ca="1">IF(ROWS($1:47)&gt;COUNT(Dong8),"",OFFSET(TH!K$1,SMALL(Dong8,ROWS($1:47)),))</f>
        <v>1121</v>
      </c>
      <c r="I57" s="63">
        <f t="shared" ca="1" si="41"/>
        <v>47</v>
      </c>
      <c r="J57" s="395">
        <f t="shared" ca="1" si="1"/>
        <v>0</v>
      </c>
      <c r="K57" s="395">
        <f t="shared" ca="1" si="2"/>
        <v>0</v>
      </c>
      <c r="L57" s="395">
        <f t="shared" ca="1" si="3"/>
        <v>0</v>
      </c>
      <c r="M57" s="395">
        <f t="shared" ca="1" si="4"/>
        <v>8625463</v>
      </c>
      <c r="N57" s="395">
        <f t="shared" ca="1" si="5"/>
        <v>0</v>
      </c>
      <c r="O57" s="395">
        <f t="shared" ca="1" si="6"/>
        <v>0</v>
      </c>
      <c r="P57" s="395">
        <f t="shared" ca="1" si="7"/>
        <v>0</v>
      </c>
      <c r="Q57" s="395">
        <f t="shared" ca="1" si="8"/>
        <v>0</v>
      </c>
      <c r="R57" s="395">
        <f t="shared" ca="1" si="39"/>
        <v>0</v>
      </c>
      <c r="S57" s="395">
        <f t="shared" ca="1" si="40"/>
        <v>0</v>
      </c>
      <c r="T57" s="395">
        <f t="shared" ca="1" si="9"/>
        <v>0</v>
      </c>
      <c r="U57" s="395">
        <f t="shared" ca="1" si="10"/>
        <v>0</v>
      </c>
      <c r="V57" s="395">
        <f t="shared" ca="1" si="11"/>
        <v>0</v>
      </c>
      <c r="W57" s="395">
        <f t="shared" ca="1" si="12"/>
        <v>0</v>
      </c>
      <c r="X57" s="395">
        <f t="shared" ca="1" si="13"/>
        <v>0</v>
      </c>
      <c r="Y57" s="395">
        <f t="shared" ca="1" si="14"/>
        <v>0</v>
      </c>
      <c r="Z57" s="395">
        <f t="shared" ca="1" si="15"/>
        <v>0</v>
      </c>
      <c r="AA57" s="395">
        <f t="shared" ca="1" si="16"/>
        <v>0</v>
      </c>
      <c r="AB57" s="395">
        <f t="shared" ca="1" si="17"/>
        <v>0</v>
      </c>
      <c r="AC57" s="395">
        <f t="shared" ca="1" si="18"/>
        <v>0</v>
      </c>
      <c r="AD57" s="395">
        <f t="shared" ca="1" si="19"/>
        <v>0</v>
      </c>
      <c r="AE57" s="395">
        <f t="shared" ca="1" si="20"/>
        <v>0</v>
      </c>
      <c r="AF57" s="395">
        <f t="shared" ca="1" si="21"/>
        <v>0</v>
      </c>
      <c r="AG57" s="395">
        <f t="shared" ca="1" si="22"/>
        <v>0</v>
      </c>
      <c r="AH57" s="395">
        <f t="shared" ca="1" si="23"/>
        <v>0</v>
      </c>
      <c r="AI57" s="395">
        <f t="shared" ca="1" si="24"/>
        <v>0</v>
      </c>
      <c r="AJ57" s="395">
        <f t="shared" ca="1" si="25"/>
        <v>0</v>
      </c>
      <c r="AK57" s="395">
        <f t="shared" ca="1" si="26"/>
        <v>0</v>
      </c>
      <c r="AL57" s="395">
        <f t="shared" ca="1" si="27"/>
        <v>8625463</v>
      </c>
      <c r="AM57" s="395">
        <f t="shared" ca="1" si="28"/>
        <v>0</v>
      </c>
      <c r="AN57" s="395">
        <f t="shared" ca="1" si="29"/>
        <v>0</v>
      </c>
      <c r="AO57" s="395">
        <f t="shared" ca="1" si="30"/>
        <v>0</v>
      </c>
      <c r="AP57" s="395">
        <f t="shared" ca="1" si="31"/>
        <v>0</v>
      </c>
      <c r="AQ57" s="395">
        <f t="shared" ca="1" si="32"/>
        <v>0</v>
      </c>
      <c r="AR57" s="395">
        <f t="shared" ca="1" si="33"/>
        <v>0</v>
      </c>
      <c r="AS57" s="395">
        <f t="shared" ca="1" si="34"/>
        <v>0</v>
      </c>
      <c r="AT57" s="395">
        <f t="shared" ca="1" si="35"/>
        <v>0</v>
      </c>
      <c r="AU57" s="395">
        <f t="shared" ca="1" si="36"/>
        <v>0</v>
      </c>
      <c r="AV57" s="395">
        <f t="shared" ca="1" si="37"/>
        <v>0</v>
      </c>
      <c r="AW57" s="395">
        <f t="shared" ca="1" si="38"/>
        <v>0</v>
      </c>
    </row>
    <row r="58" spans="1:49" s="392" customFormat="1" ht="12" customHeight="1">
      <c r="A58" s="63">
        <f t="array" aca="1" ref="A58" ca="1">IF(C58&lt;&gt;0,SUM(($C$11:C58&lt;&gt;0)*1),"")</f>
        <v>48</v>
      </c>
      <c r="B58" s="393">
        <f ca="1">IF(ROWS($1:48)&gt;COUNT(Dong8),"",OFFSET(TH!C$1,SMALL(Dong8,ROWS($1:48)),))</f>
        <v>41905</v>
      </c>
      <c r="C58" s="393" t="str">
        <f ca="1">IF(ROWS($1:48)&gt;COUNT(Dong8),"",OFFSET(TH!D$1,SMALL(Dong8,ROWS($1:48)),))</f>
        <v>GBN</v>
      </c>
      <c r="D58" s="393">
        <f ca="1">IF(ROWS($1:48)&gt;COUNT(Dong8),"",OFFSET(TH!E$1,SMALL(Dong8,ROWS($1:48)),))</f>
        <v>41905</v>
      </c>
      <c r="E58" s="443" t="str">
        <f ca="1">IF(ROWS($1:48)&gt;COUNT(Dong8),"",OFFSET(TH!F$1,SMALL(Dong8,ROWS($1:48)),))</f>
        <v>Thanh toán tiền xây dựng</v>
      </c>
      <c r="F58" s="444">
        <f ca="1">IF(ROWS($1:48)&gt;COUNT(Dong8),"",OFFSET(TH!I$1,SMALL(Dong8,ROWS($1:48)),))</f>
        <v>752610000</v>
      </c>
      <c r="G58" s="456" t="str">
        <f ca="1">IF(ROWS($1:48)&gt;COUNT(Dong8),"",OFFSET(TH!J$1,SMALL(Dong8,ROWS($1:48)),))</f>
        <v>331</v>
      </c>
      <c r="H58" s="456" t="str">
        <f ca="1">IF(ROWS($1:48)&gt;COUNT(Dong8),"",OFFSET(TH!K$1,SMALL(Dong8,ROWS($1:48)),))</f>
        <v>1121</v>
      </c>
      <c r="I58" s="63">
        <f t="shared" ca="1" si="41"/>
        <v>48</v>
      </c>
      <c r="J58" s="395">
        <f t="shared" ca="1" si="1"/>
        <v>0</v>
      </c>
      <c r="K58" s="395">
        <f t="shared" ca="1" si="2"/>
        <v>0</v>
      </c>
      <c r="L58" s="395">
        <f t="shared" ca="1" si="3"/>
        <v>0</v>
      </c>
      <c r="M58" s="395">
        <f t="shared" ca="1" si="4"/>
        <v>752610000</v>
      </c>
      <c r="N58" s="395">
        <f t="shared" ca="1" si="5"/>
        <v>0</v>
      </c>
      <c r="O58" s="395">
        <f t="shared" ca="1" si="6"/>
        <v>0</v>
      </c>
      <c r="P58" s="395">
        <f t="shared" ca="1" si="7"/>
        <v>0</v>
      </c>
      <c r="Q58" s="395">
        <f t="shared" ca="1" si="8"/>
        <v>0</v>
      </c>
      <c r="R58" s="395">
        <f t="shared" ca="1" si="39"/>
        <v>0</v>
      </c>
      <c r="S58" s="395">
        <f t="shared" ca="1" si="40"/>
        <v>0</v>
      </c>
      <c r="T58" s="395">
        <f t="shared" ca="1" si="9"/>
        <v>752610000</v>
      </c>
      <c r="U58" s="395">
        <f t="shared" ca="1" si="10"/>
        <v>0</v>
      </c>
      <c r="V58" s="395">
        <f t="shared" ca="1" si="11"/>
        <v>0</v>
      </c>
      <c r="W58" s="395">
        <f t="shared" ca="1" si="12"/>
        <v>0</v>
      </c>
      <c r="X58" s="395">
        <f t="shared" ca="1" si="13"/>
        <v>0</v>
      </c>
      <c r="Y58" s="395">
        <f t="shared" ca="1" si="14"/>
        <v>0</v>
      </c>
      <c r="Z58" s="395">
        <f t="shared" ca="1" si="15"/>
        <v>0</v>
      </c>
      <c r="AA58" s="395">
        <f t="shared" ca="1" si="16"/>
        <v>0</v>
      </c>
      <c r="AB58" s="395">
        <f t="shared" ca="1" si="17"/>
        <v>0</v>
      </c>
      <c r="AC58" s="395">
        <f t="shared" ca="1" si="18"/>
        <v>0</v>
      </c>
      <c r="AD58" s="395">
        <f t="shared" ca="1" si="19"/>
        <v>0</v>
      </c>
      <c r="AE58" s="395">
        <f t="shared" ca="1" si="20"/>
        <v>0</v>
      </c>
      <c r="AF58" s="395">
        <f t="shared" ca="1" si="21"/>
        <v>0</v>
      </c>
      <c r="AG58" s="395">
        <f t="shared" ca="1" si="22"/>
        <v>0</v>
      </c>
      <c r="AH58" s="395">
        <f t="shared" ca="1" si="23"/>
        <v>0</v>
      </c>
      <c r="AI58" s="395">
        <f t="shared" ca="1" si="24"/>
        <v>0</v>
      </c>
      <c r="AJ58" s="395">
        <f t="shared" ca="1" si="25"/>
        <v>0</v>
      </c>
      <c r="AK58" s="395">
        <f t="shared" ca="1" si="26"/>
        <v>0</v>
      </c>
      <c r="AL58" s="395">
        <f t="shared" ca="1" si="27"/>
        <v>0</v>
      </c>
      <c r="AM58" s="395">
        <f t="shared" ca="1" si="28"/>
        <v>0</v>
      </c>
      <c r="AN58" s="395">
        <f t="shared" ca="1" si="29"/>
        <v>0</v>
      </c>
      <c r="AO58" s="395">
        <f t="shared" ca="1" si="30"/>
        <v>0</v>
      </c>
      <c r="AP58" s="395">
        <f t="shared" ca="1" si="31"/>
        <v>0</v>
      </c>
      <c r="AQ58" s="395">
        <f t="shared" ca="1" si="32"/>
        <v>0</v>
      </c>
      <c r="AR58" s="395">
        <f t="shared" ca="1" si="33"/>
        <v>0</v>
      </c>
      <c r="AS58" s="395">
        <f t="shared" ca="1" si="34"/>
        <v>0</v>
      </c>
      <c r="AT58" s="395">
        <f t="shared" ca="1" si="35"/>
        <v>0</v>
      </c>
      <c r="AU58" s="395">
        <f t="shared" ca="1" si="36"/>
        <v>0</v>
      </c>
      <c r="AV58" s="395">
        <f t="shared" ca="1" si="37"/>
        <v>0</v>
      </c>
      <c r="AW58" s="395">
        <f t="shared" ca="1" si="38"/>
        <v>0</v>
      </c>
    </row>
    <row r="59" spans="1:49" s="392" customFormat="1" ht="12" customHeight="1">
      <c r="A59" s="63">
        <f t="array" aca="1" ref="A59" ca="1">IF(C59&lt;&gt;0,SUM(($C$11:C59&lt;&gt;0)*1),"")</f>
        <v>49</v>
      </c>
      <c r="B59" s="393">
        <f ca="1">IF(ROWS($1:49)&gt;COUNT(Dong8),"",OFFSET(TH!C$1,SMALL(Dong8,ROWS($1:49)),))</f>
        <v>41905</v>
      </c>
      <c r="C59" s="393" t="str">
        <f ca="1">IF(ROWS($1:49)&gt;COUNT(Dong8),"",OFFSET(TH!D$1,SMALL(Dong8,ROWS($1:49)),))</f>
        <v>GBN</v>
      </c>
      <c r="D59" s="393">
        <f ca="1">IF(ROWS($1:49)&gt;COUNT(Dong8),"",OFFSET(TH!E$1,SMALL(Dong8,ROWS($1:49)),))</f>
        <v>41905</v>
      </c>
      <c r="E59" s="443" t="str">
        <f ca="1">IF(ROWS($1:49)&gt;COUNT(Dong8),"",OFFSET(TH!F$1,SMALL(Dong8,ROWS($1:49)),))</f>
        <v xml:space="preserve">Phí chuyển tiền </v>
      </c>
      <c r="F59" s="444">
        <f ca="1">IF(ROWS($1:49)&gt;COUNT(Dong8),"",OFFSET(TH!I$1,SMALL(Dong8,ROWS($1:49)),))</f>
        <v>225783</v>
      </c>
      <c r="G59" s="456" t="str">
        <f ca="1">IF(ROWS($1:49)&gt;COUNT(Dong8),"",OFFSET(TH!J$1,SMALL(Dong8,ROWS($1:49)),))</f>
        <v>642</v>
      </c>
      <c r="H59" s="456" t="str">
        <f ca="1">IF(ROWS($1:49)&gt;COUNT(Dong8),"",OFFSET(TH!K$1,SMALL(Dong8,ROWS($1:49)),))</f>
        <v>1121</v>
      </c>
      <c r="I59" s="63">
        <f t="shared" ca="1" si="41"/>
        <v>49</v>
      </c>
      <c r="J59" s="395">
        <f t="shared" ca="1" si="1"/>
        <v>0</v>
      </c>
      <c r="K59" s="395">
        <f t="shared" ca="1" si="2"/>
        <v>0</v>
      </c>
      <c r="L59" s="395">
        <f t="shared" ca="1" si="3"/>
        <v>0</v>
      </c>
      <c r="M59" s="395">
        <f t="shared" ca="1" si="4"/>
        <v>225783</v>
      </c>
      <c r="N59" s="395">
        <f t="shared" ca="1" si="5"/>
        <v>0</v>
      </c>
      <c r="O59" s="395">
        <f t="shared" ca="1" si="6"/>
        <v>0</v>
      </c>
      <c r="P59" s="395">
        <f t="shared" ca="1" si="7"/>
        <v>0</v>
      </c>
      <c r="Q59" s="395">
        <f t="shared" ca="1" si="8"/>
        <v>0</v>
      </c>
      <c r="R59" s="395">
        <f t="shared" ca="1" si="39"/>
        <v>0</v>
      </c>
      <c r="S59" s="395">
        <f t="shared" ca="1" si="40"/>
        <v>0</v>
      </c>
      <c r="T59" s="395">
        <f t="shared" ca="1" si="9"/>
        <v>0</v>
      </c>
      <c r="U59" s="395">
        <f t="shared" ca="1" si="10"/>
        <v>0</v>
      </c>
      <c r="V59" s="395">
        <f t="shared" ca="1" si="11"/>
        <v>0</v>
      </c>
      <c r="W59" s="395">
        <f t="shared" ca="1" si="12"/>
        <v>0</v>
      </c>
      <c r="X59" s="395">
        <f t="shared" ca="1" si="13"/>
        <v>0</v>
      </c>
      <c r="Y59" s="395">
        <f t="shared" ca="1" si="14"/>
        <v>0</v>
      </c>
      <c r="Z59" s="395">
        <f t="shared" ca="1" si="15"/>
        <v>0</v>
      </c>
      <c r="AA59" s="395">
        <f t="shared" ca="1" si="16"/>
        <v>0</v>
      </c>
      <c r="AB59" s="395">
        <f t="shared" ca="1" si="17"/>
        <v>0</v>
      </c>
      <c r="AC59" s="395">
        <f t="shared" ca="1" si="18"/>
        <v>0</v>
      </c>
      <c r="AD59" s="395">
        <f t="shared" ca="1" si="19"/>
        <v>0</v>
      </c>
      <c r="AE59" s="395">
        <f t="shared" ca="1" si="20"/>
        <v>0</v>
      </c>
      <c r="AF59" s="395">
        <f t="shared" ca="1" si="21"/>
        <v>0</v>
      </c>
      <c r="AG59" s="395">
        <f t="shared" ca="1" si="22"/>
        <v>0</v>
      </c>
      <c r="AH59" s="395">
        <f t="shared" ca="1" si="23"/>
        <v>0</v>
      </c>
      <c r="AI59" s="395">
        <f t="shared" ca="1" si="24"/>
        <v>0</v>
      </c>
      <c r="AJ59" s="395">
        <f t="shared" ca="1" si="25"/>
        <v>0</v>
      </c>
      <c r="AK59" s="395">
        <f t="shared" ca="1" si="26"/>
        <v>0</v>
      </c>
      <c r="AL59" s="395">
        <f t="shared" ca="1" si="27"/>
        <v>0</v>
      </c>
      <c r="AM59" s="395">
        <f t="shared" ca="1" si="28"/>
        <v>0</v>
      </c>
      <c r="AN59" s="395">
        <f t="shared" ca="1" si="29"/>
        <v>225783</v>
      </c>
      <c r="AO59" s="395">
        <f t="shared" ca="1" si="30"/>
        <v>0</v>
      </c>
      <c r="AP59" s="395">
        <f t="shared" ca="1" si="31"/>
        <v>0</v>
      </c>
      <c r="AQ59" s="395">
        <f t="shared" ca="1" si="32"/>
        <v>0</v>
      </c>
      <c r="AR59" s="395">
        <f t="shared" ca="1" si="33"/>
        <v>0</v>
      </c>
      <c r="AS59" s="395">
        <f t="shared" ca="1" si="34"/>
        <v>0</v>
      </c>
      <c r="AT59" s="395">
        <f t="shared" ca="1" si="35"/>
        <v>0</v>
      </c>
      <c r="AU59" s="395">
        <f t="shared" ca="1" si="36"/>
        <v>0</v>
      </c>
      <c r="AV59" s="395">
        <f t="shared" ca="1" si="37"/>
        <v>0</v>
      </c>
      <c r="AW59" s="395">
        <f t="shared" ca="1" si="38"/>
        <v>0</v>
      </c>
    </row>
    <row r="60" spans="1:49" s="392" customFormat="1" ht="12" customHeight="1">
      <c r="A60" s="63">
        <f t="array" aca="1" ref="A60" ca="1">IF(C60&lt;&gt;0,SUM(($C$11:C60&lt;&gt;0)*1),"")</f>
        <v>50</v>
      </c>
      <c r="B60" s="393">
        <f ca="1">IF(ROWS($1:50)&gt;COUNT(Dong8),"",OFFSET(TH!C$1,SMALL(Dong8,ROWS($1:50)),))</f>
        <v>41905</v>
      </c>
      <c r="C60" s="393" t="str">
        <f ca="1">IF(ROWS($1:50)&gt;COUNT(Dong8),"",OFFSET(TH!D$1,SMALL(Dong8,ROWS($1:50)),))</f>
        <v>GBN</v>
      </c>
      <c r="D60" s="393">
        <f ca="1">IF(ROWS($1:50)&gt;COUNT(Dong8),"",OFFSET(TH!E$1,SMALL(Dong8,ROWS($1:50)),))</f>
        <v>41905</v>
      </c>
      <c r="E60" s="443" t="str">
        <f ca="1">IF(ROWS($1:50)&gt;COUNT(Dong8),"",OFFSET(TH!F$1,SMALL(Dong8,ROWS($1:50)),))</f>
        <v xml:space="preserve">VAT Phí chuyển tiền </v>
      </c>
      <c r="F60" s="444">
        <f ca="1">IF(ROWS($1:50)&gt;COUNT(Dong8),"",OFFSET(TH!I$1,SMALL(Dong8,ROWS($1:50)),))</f>
        <v>22578</v>
      </c>
      <c r="G60" s="456" t="str">
        <f ca="1">IF(ROWS($1:50)&gt;COUNT(Dong8),"",OFFSET(TH!J$1,SMALL(Dong8,ROWS($1:50)),))</f>
        <v>1331</v>
      </c>
      <c r="H60" s="456" t="str">
        <f ca="1">IF(ROWS($1:50)&gt;COUNT(Dong8),"",OFFSET(TH!K$1,SMALL(Dong8,ROWS($1:50)),))</f>
        <v>1121</v>
      </c>
      <c r="I60" s="63">
        <f t="shared" ca="1" si="41"/>
        <v>50</v>
      </c>
      <c r="J60" s="395">
        <f t="shared" ca="1" si="1"/>
        <v>0</v>
      </c>
      <c r="K60" s="395">
        <f t="shared" ca="1" si="2"/>
        <v>0</v>
      </c>
      <c r="L60" s="395">
        <f t="shared" ca="1" si="3"/>
        <v>0</v>
      </c>
      <c r="M60" s="395">
        <f t="shared" ca="1" si="4"/>
        <v>22578</v>
      </c>
      <c r="N60" s="395">
        <f t="shared" ca="1" si="5"/>
        <v>22578</v>
      </c>
      <c r="O60" s="395">
        <f t="shared" ca="1" si="6"/>
        <v>0</v>
      </c>
      <c r="P60" s="395">
        <f t="shared" ca="1" si="7"/>
        <v>0</v>
      </c>
      <c r="Q60" s="395">
        <f t="shared" ca="1" si="8"/>
        <v>0</v>
      </c>
      <c r="R60" s="395">
        <f t="shared" ca="1" si="39"/>
        <v>0</v>
      </c>
      <c r="S60" s="395">
        <f t="shared" ca="1" si="40"/>
        <v>0</v>
      </c>
      <c r="T60" s="395">
        <f t="shared" ca="1" si="9"/>
        <v>0</v>
      </c>
      <c r="U60" s="395">
        <f t="shared" ca="1" si="10"/>
        <v>0</v>
      </c>
      <c r="V60" s="395">
        <f t="shared" ca="1" si="11"/>
        <v>0</v>
      </c>
      <c r="W60" s="395">
        <f t="shared" ca="1" si="12"/>
        <v>0</v>
      </c>
      <c r="X60" s="395">
        <f t="shared" ca="1" si="13"/>
        <v>0</v>
      </c>
      <c r="Y60" s="395">
        <f t="shared" ca="1" si="14"/>
        <v>0</v>
      </c>
      <c r="Z60" s="395">
        <f t="shared" ca="1" si="15"/>
        <v>0</v>
      </c>
      <c r="AA60" s="395">
        <f t="shared" ca="1" si="16"/>
        <v>0</v>
      </c>
      <c r="AB60" s="395">
        <f t="shared" ca="1" si="17"/>
        <v>0</v>
      </c>
      <c r="AC60" s="395">
        <f t="shared" ca="1" si="18"/>
        <v>0</v>
      </c>
      <c r="AD60" s="395">
        <f t="shared" ca="1" si="19"/>
        <v>0</v>
      </c>
      <c r="AE60" s="395">
        <f t="shared" ca="1" si="20"/>
        <v>0</v>
      </c>
      <c r="AF60" s="395">
        <f t="shared" ca="1" si="21"/>
        <v>0</v>
      </c>
      <c r="AG60" s="395">
        <f t="shared" ca="1" si="22"/>
        <v>0</v>
      </c>
      <c r="AH60" s="395">
        <f t="shared" ca="1" si="23"/>
        <v>0</v>
      </c>
      <c r="AI60" s="395">
        <f t="shared" ca="1" si="24"/>
        <v>0</v>
      </c>
      <c r="AJ60" s="395">
        <f t="shared" ca="1" si="25"/>
        <v>0</v>
      </c>
      <c r="AK60" s="395">
        <f t="shared" ca="1" si="26"/>
        <v>0</v>
      </c>
      <c r="AL60" s="395">
        <f t="shared" ca="1" si="27"/>
        <v>0</v>
      </c>
      <c r="AM60" s="395">
        <f t="shared" ca="1" si="28"/>
        <v>0</v>
      </c>
      <c r="AN60" s="395">
        <f t="shared" ca="1" si="29"/>
        <v>0</v>
      </c>
      <c r="AO60" s="395">
        <f t="shared" ca="1" si="30"/>
        <v>0</v>
      </c>
      <c r="AP60" s="395">
        <f t="shared" ca="1" si="31"/>
        <v>0</v>
      </c>
      <c r="AQ60" s="395">
        <f t="shared" ca="1" si="32"/>
        <v>0</v>
      </c>
      <c r="AR60" s="395">
        <f t="shared" ca="1" si="33"/>
        <v>0</v>
      </c>
      <c r="AS60" s="395">
        <f t="shared" ca="1" si="34"/>
        <v>0</v>
      </c>
      <c r="AT60" s="395">
        <f t="shared" ca="1" si="35"/>
        <v>0</v>
      </c>
      <c r="AU60" s="395">
        <f t="shared" ca="1" si="36"/>
        <v>0</v>
      </c>
      <c r="AV60" s="395">
        <f t="shared" ca="1" si="37"/>
        <v>0</v>
      </c>
      <c r="AW60" s="395">
        <f t="shared" ca="1" si="38"/>
        <v>0</v>
      </c>
    </row>
    <row r="61" spans="1:49" s="392" customFormat="1" ht="12" customHeight="1">
      <c r="A61" s="63">
        <f t="array" aca="1" ref="A61" ca="1">IF(C61&lt;&gt;0,SUM(($C$11:C61&lt;&gt;0)*1),"")</f>
        <v>51</v>
      </c>
      <c r="B61" s="393">
        <f ca="1">IF(ROWS($1:51)&gt;COUNT(Dong8),"",OFFSET(TH!C$1,SMALL(Dong8,ROWS($1:51)),))</f>
        <v>41905</v>
      </c>
      <c r="C61" s="393" t="str">
        <f ca="1">IF(ROWS($1:51)&gt;COUNT(Dong8),"",OFFSET(TH!D$1,SMALL(Dong8,ROWS($1:51)),))</f>
        <v>GBN</v>
      </c>
      <c r="D61" s="393">
        <f ca="1">IF(ROWS($1:51)&gt;COUNT(Dong8),"",OFFSET(TH!E$1,SMALL(Dong8,ROWS($1:51)),))</f>
        <v>41905</v>
      </c>
      <c r="E61" s="443" t="str">
        <f ca="1">IF(ROWS($1:51)&gt;COUNT(Dong8),"",OFFSET(TH!F$1,SMALL(Dong8,ROWS($1:51)),))</f>
        <v>Thanh toán tiền xây dựng - Khánh Trân</v>
      </c>
      <c r="F61" s="444">
        <f ca="1">IF(ROWS($1:51)&gt;COUNT(Dong8),"",OFFSET(TH!I$1,SMALL(Dong8,ROWS($1:51)),))</f>
        <v>800000000</v>
      </c>
      <c r="G61" s="456" t="str">
        <f ca="1">IF(ROWS($1:51)&gt;COUNT(Dong8),"",OFFSET(TH!J$1,SMALL(Dong8,ROWS($1:51)),))</f>
        <v>331</v>
      </c>
      <c r="H61" s="456" t="str">
        <f ca="1">IF(ROWS($1:51)&gt;COUNT(Dong8),"",OFFSET(TH!K$1,SMALL(Dong8,ROWS($1:51)),))</f>
        <v>1121</v>
      </c>
      <c r="I61" s="63">
        <f t="shared" ca="1" si="41"/>
        <v>51</v>
      </c>
      <c r="J61" s="395">
        <f t="shared" ca="1" si="1"/>
        <v>0</v>
      </c>
      <c r="K61" s="395">
        <f t="shared" ca="1" si="2"/>
        <v>0</v>
      </c>
      <c r="L61" s="395">
        <f t="shared" ca="1" si="3"/>
        <v>0</v>
      </c>
      <c r="M61" s="395">
        <f t="shared" ca="1" si="4"/>
        <v>800000000</v>
      </c>
      <c r="N61" s="395">
        <f t="shared" ca="1" si="5"/>
        <v>0</v>
      </c>
      <c r="O61" s="395">
        <f t="shared" ca="1" si="6"/>
        <v>0</v>
      </c>
      <c r="P61" s="395">
        <f t="shared" ca="1" si="7"/>
        <v>0</v>
      </c>
      <c r="Q61" s="395">
        <f t="shared" ca="1" si="8"/>
        <v>0</v>
      </c>
      <c r="R61" s="395">
        <f t="shared" ca="1" si="39"/>
        <v>0</v>
      </c>
      <c r="S61" s="395">
        <f t="shared" ca="1" si="40"/>
        <v>0</v>
      </c>
      <c r="T61" s="395">
        <f t="shared" ca="1" si="9"/>
        <v>800000000</v>
      </c>
      <c r="U61" s="395">
        <f t="shared" ca="1" si="10"/>
        <v>0</v>
      </c>
      <c r="V61" s="395">
        <f t="shared" ca="1" si="11"/>
        <v>0</v>
      </c>
      <c r="W61" s="395">
        <f t="shared" ca="1" si="12"/>
        <v>0</v>
      </c>
      <c r="X61" s="395">
        <f t="shared" ca="1" si="13"/>
        <v>0</v>
      </c>
      <c r="Y61" s="395">
        <f t="shared" ca="1" si="14"/>
        <v>0</v>
      </c>
      <c r="Z61" s="395">
        <f t="shared" ca="1" si="15"/>
        <v>0</v>
      </c>
      <c r="AA61" s="395">
        <f t="shared" ca="1" si="16"/>
        <v>0</v>
      </c>
      <c r="AB61" s="395">
        <f t="shared" ca="1" si="17"/>
        <v>0</v>
      </c>
      <c r="AC61" s="395">
        <f t="shared" ca="1" si="18"/>
        <v>0</v>
      </c>
      <c r="AD61" s="395">
        <f t="shared" ca="1" si="19"/>
        <v>0</v>
      </c>
      <c r="AE61" s="395">
        <f t="shared" ca="1" si="20"/>
        <v>0</v>
      </c>
      <c r="AF61" s="395">
        <f t="shared" ca="1" si="21"/>
        <v>0</v>
      </c>
      <c r="AG61" s="395">
        <f t="shared" ca="1" si="22"/>
        <v>0</v>
      </c>
      <c r="AH61" s="395">
        <f t="shared" ca="1" si="23"/>
        <v>0</v>
      </c>
      <c r="AI61" s="395">
        <f t="shared" ca="1" si="24"/>
        <v>0</v>
      </c>
      <c r="AJ61" s="395">
        <f t="shared" ca="1" si="25"/>
        <v>0</v>
      </c>
      <c r="AK61" s="395">
        <f t="shared" ca="1" si="26"/>
        <v>0</v>
      </c>
      <c r="AL61" s="395">
        <f t="shared" ca="1" si="27"/>
        <v>0</v>
      </c>
      <c r="AM61" s="395">
        <f t="shared" ca="1" si="28"/>
        <v>0</v>
      </c>
      <c r="AN61" s="395">
        <f t="shared" ca="1" si="29"/>
        <v>0</v>
      </c>
      <c r="AO61" s="395">
        <f t="shared" ca="1" si="30"/>
        <v>0</v>
      </c>
      <c r="AP61" s="395">
        <f t="shared" ca="1" si="31"/>
        <v>0</v>
      </c>
      <c r="AQ61" s="395">
        <f t="shared" ca="1" si="32"/>
        <v>0</v>
      </c>
      <c r="AR61" s="395">
        <f t="shared" ca="1" si="33"/>
        <v>0</v>
      </c>
      <c r="AS61" s="395">
        <f t="shared" ca="1" si="34"/>
        <v>0</v>
      </c>
      <c r="AT61" s="395">
        <f t="shared" ca="1" si="35"/>
        <v>0</v>
      </c>
      <c r="AU61" s="395">
        <f t="shared" ca="1" si="36"/>
        <v>0</v>
      </c>
      <c r="AV61" s="395">
        <f t="shared" ca="1" si="37"/>
        <v>0</v>
      </c>
      <c r="AW61" s="395">
        <f t="shared" ca="1" si="38"/>
        <v>0</v>
      </c>
    </row>
    <row r="62" spans="1:49" s="392" customFormat="1" ht="12" customHeight="1">
      <c r="A62" s="63">
        <f t="array" aca="1" ref="A62" ca="1">IF(C62&lt;&gt;0,SUM(($C$11:C62&lt;&gt;0)*1),"")</f>
        <v>52</v>
      </c>
      <c r="B62" s="393">
        <f ca="1">IF(ROWS($1:52)&gt;COUNT(Dong8),"",OFFSET(TH!C$1,SMALL(Dong8,ROWS($1:52)),))</f>
        <v>41905</v>
      </c>
      <c r="C62" s="393" t="str">
        <f ca="1">IF(ROWS($1:52)&gt;COUNT(Dong8),"",OFFSET(TH!D$1,SMALL(Dong8,ROWS($1:52)),))</f>
        <v>GBN</v>
      </c>
      <c r="D62" s="393">
        <f ca="1">IF(ROWS($1:52)&gt;COUNT(Dong8),"",OFFSET(TH!E$1,SMALL(Dong8,ROWS($1:52)),))</f>
        <v>41905</v>
      </c>
      <c r="E62" s="443" t="str">
        <f ca="1">IF(ROWS($1:52)&gt;COUNT(Dong8),"",OFFSET(TH!F$1,SMALL(Dong8,ROWS($1:52)),))</f>
        <v xml:space="preserve">Phí chuyển tiền </v>
      </c>
      <c r="F62" s="444">
        <f ca="1">IF(ROWS($1:52)&gt;COUNT(Dong8),"",OFFSET(TH!I$1,SMALL(Dong8,ROWS($1:52)),))</f>
        <v>400000</v>
      </c>
      <c r="G62" s="456" t="str">
        <f ca="1">IF(ROWS($1:52)&gt;COUNT(Dong8),"",OFFSET(TH!J$1,SMALL(Dong8,ROWS($1:52)),))</f>
        <v>642</v>
      </c>
      <c r="H62" s="456" t="str">
        <f ca="1">IF(ROWS($1:52)&gt;COUNT(Dong8),"",OFFSET(TH!K$1,SMALL(Dong8,ROWS($1:52)),))</f>
        <v>1121</v>
      </c>
      <c r="I62" s="63">
        <f t="shared" ca="1" si="41"/>
        <v>52</v>
      </c>
      <c r="J62" s="395">
        <f t="shared" ca="1" si="1"/>
        <v>0</v>
      </c>
      <c r="K62" s="395">
        <f t="shared" ca="1" si="2"/>
        <v>0</v>
      </c>
      <c r="L62" s="395">
        <f t="shared" ca="1" si="3"/>
        <v>0</v>
      </c>
      <c r="M62" s="395">
        <f t="shared" ca="1" si="4"/>
        <v>400000</v>
      </c>
      <c r="N62" s="395">
        <f t="shared" ca="1" si="5"/>
        <v>0</v>
      </c>
      <c r="O62" s="395">
        <f t="shared" ca="1" si="6"/>
        <v>0</v>
      </c>
      <c r="P62" s="395">
        <f t="shared" ca="1" si="7"/>
        <v>0</v>
      </c>
      <c r="Q62" s="395">
        <f t="shared" ca="1" si="8"/>
        <v>0</v>
      </c>
      <c r="R62" s="395">
        <f t="shared" ca="1" si="39"/>
        <v>0</v>
      </c>
      <c r="S62" s="395">
        <f t="shared" ca="1" si="40"/>
        <v>0</v>
      </c>
      <c r="T62" s="395">
        <f t="shared" ca="1" si="9"/>
        <v>0</v>
      </c>
      <c r="U62" s="395">
        <f t="shared" ca="1" si="10"/>
        <v>0</v>
      </c>
      <c r="V62" s="395">
        <f t="shared" ca="1" si="11"/>
        <v>0</v>
      </c>
      <c r="W62" s="395">
        <f t="shared" ca="1" si="12"/>
        <v>0</v>
      </c>
      <c r="X62" s="395">
        <f t="shared" ca="1" si="13"/>
        <v>0</v>
      </c>
      <c r="Y62" s="395">
        <f t="shared" ca="1" si="14"/>
        <v>0</v>
      </c>
      <c r="Z62" s="395">
        <f t="shared" ca="1" si="15"/>
        <v>0</v>
      </c>
      <c r="AA62" s="395">
        <f t="shared" ca="1" si="16"/>
        <v>0</v>
      </c>
      <c r="AB62" s="395">
        <f t="shared" ca="1" si="17"/>
        <v>0</v>
      </c>
      <c r="AC62" s="395">
        <f t="shared" ca="1" si="18"/>
        <v>0</v>
      </c>
      <c r="AD62" s="395">
        <f t="shared" ca="1" si="19"/>
        <v>0</v>
      </c>
      <c r="AE62" s="395">
        <f t="shared" ca="1" si="20"/>
        <v>0</v>
      </c>
      <c r="AF62" s="395">
        <f t="shared" ca="1" si="21"/>
        <v>0</v>
      </c>
      <c r="AG62" s="395">
        <f t="shared" ca="1" si="22"/>
        <v>0</v>
      </c>
      <c r="AH62" s="395">
        <f t="shared" ca="1" si="23"/>
        <v>0</v>
      </c>
      <c r="AI62" s="395">
        <f t="shared" ca="1" si="24"/>
        <v>0</v>
      </c>
      <c r="AJ62" s="395">
        <f t="shared" ca="1" si="25"/>
        <v>0</v>
      </c>
      <c r="AK62" s="395">
        <f t="shared" ca="1" si="26"/>
        <v>0</v>
      </c>
      <c r="AL62" s="395">
        <f t="shared" ca="1" si="27"/>
        <v>0</v>
      </c>
      <c r="AM62" s="395">
        <f t="shared" ca="1" si="28"/>
        <v>0</v>
      </c>
      <c r="AN62" s="395">
        <f t="shared" ca="1" si="29"/>
        <v>400000</v>
      </c>
      <c r="AO62" s="395">
        <f t="shared" ca="1" si="30"/>
        <v>0</v>
      </c>
      <c r="AP62" s="395">
        <f t="shared" ca="1" si="31"/>
        <v>0</v>
      </c>
      <c r="AQ62" s="395">
        <f t="shared" ca="1" si="32"/>
        <v>0</v>
      </c>
      <c r="AR62" s="395">
        <f t="shared" ca="1" si="33"/>
        <v>0</v>
      </c>
      <c r="AS62" s="395">
        <f t="shared" ca="1" si="34"/>
        <v>0</v>
      </c>
      <c r="AT62" s="395">
        <f t="shared" ca="1" si="35"/>
        <v>0</v>
      </c>
      <c r="AU62" s="395">
        <f t="shared" ca="1" si="36"/>
        <v>0</v>
      </c>
      <c r="AV62" s="395">
        <f t="shared" ca="1" si="37"/>
        <v>0</v>
      </c>
      <c r="AW62" s="395">
        <f t="shared" ca="1" si="38"/>
        <v>0</v>
      </c>
    </row>
    <row r="63" spans="1:49" s="392" customFormat="1" ht="12" customHeight="1">
      <c r="A63" s="63">
        <f t="array" aca="1" ref="A63" ca="1">IF(C63&lt;&gt;0,SUM(($C$11:C63&lt;&gt;0)*1),"")</f>
        <v>53</v>
      </c>
      <c r="B63" s="393">
        <f ca="1">IF(ROWS($1:53)&gt;COUNT(Dong8),"",OFFSET(TH!C$1,SMALL(Dong8,ROWS($1:53)),))</f>
        <v>41905</v>
      </c>
      <c r="C63" s="393" t="str">
        <f ca="1">IF(ROWS($1:53)&gt;COUNT(Dong8),"",OFFSET(TH!D$1,SMALL(Dong8,ROWS($1:53)),))</f>
        <v>GBN</v>
      </c>
      <c r="D63" s="393">
        <f ca="1">IF(ROWS($1:53)&gt;COUNT(Dong8),"",OFFSET(TH!E$1,SMALL(Dong8,ROWS($1:53)),))</f>
        <v>41905</v>
      </c>
      <c r="E63" s="443" t="str">
        <f ca="1">IF(ROWS($1:53)&gt;COUNT(Dong8),"",OFFSET(TH!F$1,SMALL(Dong8,ROWS($1:53)),))</f>
        <v xml:space="preserve">VAT Phí chuyển tiền </v>
      </c>
      <c r="F63" s="444">
        <f ca="1">IF(ROWS($1:53)&gt;COUNT(Dong8),"",OFFSET(TH!I$1,SMALL(Dong8,ROWS($1:53)),))</f>
        <v>40000</v>
      </c>
      <c r="G63" s="456" t="str">
        <f ca="1">IF(ROWS($1:53)&gt;COUNT(Dong8),"",OFFSET(TH!J$1,SMALL(Dong8,ROWS($1:53)),))</f>
        <v>1331</v>
      </c>
      <c r="H63" s="456" t="str">
        <f ca="1">IF(ROWS($1:53)&gt;COUNT(Dong8),"",OFFSET(TH!K$1,SMALL(Dong8,ROWS($1:53)),))</f>
        <v>1121</v>
      </c>
      <c r="I63" s="63">
        <f t="shared" ca="1" si="41"/>
        <v>53</v>
      </c>
      <c r="J63" s="395">
        <f t="shared" ca="1" si="1"/>
        <v>0</v>
      </c>
      <c r="K63" s="395">
        <f t="shared" ca="1" si="2"/>
        <v>0</v>
      </c>
      <c r="L63" s="395">
        <f t="shared" ca="1" si="3"/>
        <v>0</v>
      </c>
      <c r="M63" s="395">
        <f t="shared" ca="1" si="4"/>
        <v>40000</v>
      </c>
      <c r="N63" s="395">
        <f t="shared" ca="1" si="5"/>
        <v>40000</v>
      </c>
      <c r="O63" s="395">
        <f t="shared" ca="1" si="6"/>
        <v>0</v>
      </c>
      <c r="P63" s="395">
        <f t="shared" ca="1" si="7"/>
        <v>0</v>
      </c>
      <c r="Q63" s="395">
        <f t="shared" ca="1" si="8"/>
        <v>0</v>
      </c>
      <c r="R63" s="395">
        <f t="shared" ca="1" si="39"/>
        <v>0</v>
      </c>
      <c r="S63" s="395">
        <f t="shared" ca="1" si="40"/>
        <v>0</v>
      </c>
      <c r="T63" s="395">
        <f t="shared" ca="1" si="9"/>
        <v>0</v>
      </c>
      <c r="U63" s="395">
        <f t="shared" ca="1" si="10"/>
        <v>0</v>
      </c>
      <c r="V63" s="395">
        <f t="shared" ca="1" si="11"/>
        <v>0</v>
      </c>
      <c r="W63" s="395">
        <f t="shared" ca="1" si="12"/>
        <v>0</v>
      </c>
      <c r="X63" s="395">
        <f t="shared" ca="1" si="13"/>
        <v>0</v>
      </c>
      <c r="Y63" s="395">
        <f t="shared" ca="1" si="14"/>
        <v>0</v>
      </c>
      <c r="Z63" s="395">
        <f t="shared" ca="1" si="15"/>
        <v>0</v>
      </c>
      <c r="AA63" s="395">
        <f t="shared" ca="1" si="16"/>
        <v>0</v>
      </c>
      <c r="AB63" s="395">
        <f t="shared" ca="1" si="17"/>
        <v>0</v>
      </c>
      <c r="AC63" s="395">
        <f t="shared" ca="1" si="18"/>
        <v>0</v>
      </c>
      <c r="AD63" s="395">
        <f t="shared" ca="1" si="19"/>
        <v>0</v>
      </c>
      <c r="AE63" s="395">
        <f t="shared" ca="1" si="20"/>
        <v>0</v>
      </c>
      <c r="AF63" s="395">
        <f t="shared" ca="1" si="21"/>
        <v>0</v>
      </c>
      <c r="AG63" s="395">
        <f t="shared" ca="1" si="22"/>
        <v>0</v>
      </c>
      <c r="AH63" s="395">
        <f t="shared" ca="1" si="23"/>
        <v>0</v>
      </c>
      <c r="AI63" s="395">
        <f t="shared" ca="1" si="24"/>
        <v>0</v>
      </c>
      <c r="AJ63" s="395">
        <f t="shared" ca="1" si="25"/>
        <v>0</v>
      </c>
      <c r="AK63" s="395">
        <f t="shared" ca="1" si="26"/>
        <v>0</v>
      </c>
      <c r="AL63" s="395">
        <f t="shared" ca="1" si="27"/>
        <v>0</v>
      </c>
      <c r="AM63" s="395">
        <f t="shared" ca="1" si="28"/>
        <v>0</v>
      </c>
      <c r="AN63" s="395">
        <f t="shared" ca="1" si="29"/>
        <v>0</v>
      </c>
      <c r="AO63" s="395">
        <f t="shared" ca="1" si="30"/>
        <v>0</v>
      </c>
      <c r="AP63" s="395">
        <f t="shared" ca="1" si="31"/>
        <v>0</v>
      </c>
      <c r="AQ63" s="395">
        <f t="shared" ca="1" si="32"/>
        <v>0</v>
      </c>
      <c r="AR63" s="395">
        <f t="shared" ca="1" si="33"/>
        <v>0</v>
      </c>
      <c r="AS63" s="395">
        <f t="shared" ca="1" si="34"/>
        <v>0</v>
      </c>
      <c r="AT63" s="395">
        <f t="shared" ca="1" si="35"/>
        <v>0</v>
      </c>
      <c r="AU63" s="395">
        <f t="shared" ca="1" si="36"/>
        <v>0</v>
      </c>
      <c r="AV63" s="395">
        <f t="shared" ca="1" si="37"/>
        <v>0</v>
      </c>
      <c r="AW63" s="395">
        <f t="shared" ca="1" si="38"/>
        <v>0</v>
      </c>
    </row>
    <row r="64" spans="1:49" s="392" customFormat="1" ht="12" customHeight="1">
      <c r="A64" s="63">
        <f t="array" aca="1" ref="A64" ca="1">IF(C64&lt;&gt;0,SUM(($C$11:C64&lt;&gt;0)*1),"")</f>
        <v>54</v>
      </c>
      <c r="B64" s="393">
        <f ca="1">IF(ROWS($1:54)&gt;COUNT(Dong8),"",OFFSET(TH!C$1,SMALL(Dong8,ROWS($1:54)),))</f>
        <v>41905</v>
      </c>
      <c r="C64" s="393" t="str">
        <f ca="1">IF(ROWS($1:54)&gt;COUNT(Dong8),"",OFFSET(TH!D$1,SMALL(Dong8,ROWS($1:54)),))</f>
        <v>GBC</v>
      </c>
      <c r="D64" s="393">
        <f ca="1">IF(ROWS($1:54)&gt;COUNT(Dong8),"",OFFSET(TH!E$1,SMALL(Dong8,ROWS($1:54)),))</f>
        <v>41905</v>
      </c>
      <c r="E64" s="443" t="str">
        <f ca="1">IF(ROWS($1:54)&gt;COUNT(Dong8),"",OFFSET(TH!F$1,SMALL(Dong8,ROWS($1:54)),))</f>
        <v>Vay KU 1402LDS201402000</v>
      </c>
      <c r="F64" s="444">
        <f ca="1">IF(ROWS($1:54)&gt;COUNT(Dong8),"",OFFSET(TH!I$1,SMALL(Dong8,ROWS($1:54)),))</f>
        <v>2000000000</v>
      </c>
      <c r="G64" s="456" t="str">
        <f ca="1">IF(ROWS($1:54)&gt;COUNT(Dong8),"",OFFSET(TH!J$1,SMALL(Dong8,ROWS($1:54)),))</f>
        <v>1121</v>
      </c>
      <c r="H64" s="456" t="str">
        <f ca="1">IF(ROWS($1:54)&gt;COUNT(Dong8),"",OFFSET(TH!K$1,SMALL(Dong8,ROWS($1:54)),))</f>
        <v>3411</v>
      </c>
      <c r="I64" s="63">
        <f t="shared" ca="1" si="41"/>
        <v>54</v>
      </c>
      <c r="J64" s="395">
        <f t="shared" ca="1" si="1"/>
        <v>0</v>
      </c>
      <c r="K64" s="395">
        <f t="shared" ca="1" si="2"/>
        <v>0</v>
      </c>
      <c r="L64" s="395">
        <f t="shared" ca="1" si="3"/>
        <v>2000000000</v>
      </c>
      <c r="M64" s="395">
        <f t="shared" ca="1" si="4"/>
        <v>0</v>
      </c>
      <c r="N64" s="395">
        <f t="shared" ca="1" si="5"/>
        <v>0</v>
      </c>
      <c r="O64" s="395">
        <f t="shared" ca="1" si="6"/>
        <v>0</v>
      </c>
      <c r="P64" s="395">
        <f t="shared" ca="1" si="7"/>
        <v>0</v>
      </c>
      <c r="Q64" s="395">
        <f t="shared" ca="1" si="8"/>
        <v>0</v>
      </c>
      <c r="R64" s="395">
        <f t="shared" ca="1" si="39"/>
        <v>0</v>
      </c>
      <c r="S64" s="395">
        <f t="shared" ca="1" si="40"/>
        <v>0</v>
      </c>
      <c r="T64" s="395">
        <f t="shared" ca="1" si="9"/>
        <v>0</v>
      </c>
      <c r="U64" s="395">
        <f t="shared" ca="1" si="10"/>
        <v>0</v>
      </c>
      <c r="V64" s="395">
        <f t="shared" ca="1" si="11"/>
        <v>0</v>
      </c>
      <c r="W64" s="395">
        <f t="shared" ca="1" si="12"/>
        <v>0</v>
      </c>
      <c r="X64" s="395">
        <f t="shared" ca="1" si="13"/>
        <v>0</v>
      </c>
      <c r="Y64" s="395">
        <f t="shared" ca="1" si="14"/>
        <v>0</v>
      </c>
      <c r="Z64" s="395">
        <f t="shared" ca="1" si="15"/>
        <v>0</v>
      </c>
      <c r="AA64" s="395">
        <f t="shared" ca="1" si="16"/>
        <v>0</v>
      </c>
      <c r="AB64" s="395">
        <f t="shared" ca="1" si="17"/>
        <v>0</v>
      </c>
      <c r="AC64" s="395">
        <f t="shared" ca="1" si="18"/>
        <v>2000000000</v>
      </c>
      <c r="AD64" s="395">
        <f t="shared" ca="1" si="19"/>
        <v>0</v>
      </c>
      <c r="AE64" s="395">
        <f t="shared" ca="1" si="20"/>
        <v>0</v>
      </c>
      <c r="AF64" s="395">
        <f t="shared" ca="1" si="21"/>
        <v>0</v>
      </c>
      <c r="AG64" s="395">
        <f t="shared" ca="1" si="22"/>
        <v>0</v>
      </c>
      <c r="AH64" s="395">
        <f t="shared" ca="1" si="23"/>
        <v>0</v>
      </c>
      <c r="AI64" s="395">
        <f t="shared" ca="1" si="24"/>
        <v>0</v>
      </c>
      <c r="AJ64" s="395">
        <f t="shared" ca="1" si="25"/>
        <v>0</v>
      </c>
      <c r="AK64" s="395">
        <f t="shared" ca="1" si="26"/>
        <v>0</v>
      </c>
      <c r="AL64" s="395">
        <f t="shared" ca="1" si="27"/>
        <v>0</v>
      </c>
      <c r="AM64" s="395">
        <f t="shared" ca="1" si="28"/>
        <v>0</v>
      </c>
      <c r="AN64" s="395">
        <f t="shared" ca="1" si="29"/>
        <v>0</v>
      </c>
      <c r="AO64" s="395">
        <f t="shared" ca="1" si="30"/>
        <v>0</v>
      </c>
      <c r="AP64" s="395">
        <f t="shared" ca="1" si="31"/>
        <v>0</v>
      </c>
      <c r="AQ64" s="395">
        <f t="shared" ca="1" si="32"/>
        <v>0</v>
      </c>
      <c r="AR64" s="395">
        <f t="shared" ca="1" si="33"/>
        <v>0</v>
      </c>
      <c r="AS64" s="395">
        <f t="shared" ca="1" si="34"/>
        <v>0</v>
      </c>
      <c r="AT64" s="395">
        <f t="shared" ca="1" si="35"/>
        <v>0</v>
      </c>
      <c r="AU64" s="395">
        <f t="shared" ca="1" si="36"/>
        <v>0</v>
      </c>
      <c r="AV64" s="395">
        <f t="shared" ca="1" si="37"/>
        <v>0</v>
      </c>
      <c r="AW64" s="395">
        <f t="shared" ca="1" si="38"/>
        <v>0</v>
      </c>
    </row>
    <row r="65" spans="1:49" s="392" customFormat="1" ht="12" customHeight="1">
      <c r="A65" s="63">
        <f t="array" aca="1" ref="A65" ca="1">IF(C65&lt;&gt;0,SUM(($C$11:C65&lt;&gt;0)*1),"")</f>
        <v>55</v>
      </c>
      <c r="B65" s="393">
        <f ca="1">IF(ROWS($1:55)&gt;COUNT(Dong8),"",OFFSET(TH!C$1,SMALL(Dong8,ROWS($1:55)),))</f>
        <v>41906</v>
      </c>
      <c r="C65" s="393" t="str">
        <f ca="1">IF(ROWS($1:55)&gt;COUNT(Dong8),"",OFFSET(TH!D$1,SMALL(Dong8,ROWS($1:55)),))</f>
        <v>GBN</v>
      </c>
      <c r="D65" s="393">
        <f ca="1">IF(ROWS($1:55)&gt;COUNT(Dong8),"",OFFSET(TH!E$1,SMALL(Dong8,ROWS($1:55)),))</f>
        <v>41906</v>
      </c>
      <c r="E65" s="443" t="str">
        <f ca="1">IF(ROWS($1:55)&gt;COUNT(Dong8),"",OFFSET(TH!F$1,SMALL(Dong8,ROWS($1:55)),))</f>
        <v xml:space="preserve">Phí điểu chỉnh lệnh chuyển tiền </v>
      </c>
      <c r="F65" s="444">
        <f ca="1">IF(ROWS($1:55)&gt;COUNT(Dong8),"",OFFSET(TH!I$1,SMALL(Dong8,ROWS($1:55)),))</f>
        <v>20000</v>
      </c>
      <c r="G65" s="456" t="str">
        <f ca="1">IF(ROWS($1:55)&gt;COUNT(Dong8),"",OFFSET(TH!J$1,SMALL(Dong8,ROWS($1:55)),))</f>
        <v>642</v>
      </c>
      <c r="H65" s="456" t="str">
        <f ca="1">IF(ROWS($1:55)&gt;COUNT(Dong8),"",OFFSET(TH!K$1,SMALL(Dong8,ROWS($1:55)),))</f>
        <v>1121</v>
      </c>
      <c r="I65" s="63">
        <f t="shared" ca="1" si="41"/>
        <v>55</v>
      </c>
      <c r="J65" s="395">
        <f t="shared" ca="1" si="1"/>
        <v>0</v>
      </c>
      <c r="K65" s="395">
        <f t="shared" ca="1" si="2"/>
        <v>0</v>
      </c>
      <c r="L65" s="395">
        <f t="shared" ca="1" si="3"/>
        <v>0</v>
      </c>
      <c r="M65" s="395">
        <f t="shared" ca="1" si="4"/>
        <v>20000</v>
      </c>
      <c r="N65" s="395">
        <f t="shared" ca="1" si="5"/>
        <v>0</v>
      </c>
      <c r="O65" s="395">
        <f t="shared" ca="1" si="6"/>
        <v>0</v>
      </c>
      <c r="P65" s="395">
        <f t="shared" ca="1" si="7"/>
        <v>0</v>
      </c>
      <c r="Q65" s="395">
        <f t="shared" ca="1" si="8"/>
        <v>0</v>
      </c>
      <c r="R65" s="395">
        <f t="shared" ca="1" si="39"/>
        <v>0</v>
      </c>
      <c r="S65" s="395">
        <f t="shared" ca="1" si="40"/>
        <v>0</v>
      </c>
      <c r="T65" s="395">
        <f t="shared" ca="1" si="9"/>
        <v>0</v>
      </c>
      <c r="U65" s="395">
        <f t="shared" ca="1" si="10"/>
        <v>0</v>
      </c>
      <c r="V65" s="395">
        <f t="shared" ca="1" si="11"/>
        <v>0</v>
      </c>
      <c r="W65" s="395">
        <f t="shared" ca="1" si="12"/>
        <v>0</v>
      </c>
      <c r="X65" s="395">
        <f t="shared" ca="1" si="13"/>
        <v>0</v>
      </c>
      <c r="Y65" s="395">
        <f t="shared" ca="1" si="14"/>
        <v>0</v>
      </c>
      <c r="Z65" s="395">
        <f t="shared" ca="1" si="15"/>
        <v>0</v>
      </c>
      <c r="AA65" s="395">
        <f t="shared" ca="1" si="16"/>
        <v>0</v>
      </c>
      <c r="AB65" s="395">
        <f t="shared" ca="1" si="17"/>
        <v>0</v>
      </c>
      <c r="AC65" s="395">
        <f t="shared" ca="1" si="18"/>
        <v>0</v>
      </c>
      <c r="AD65" s="395">
        <f t="shared" ca="1" si="19"/>
        <v>0</v>
      </c>
      <c r="AE65" s="395">
        <f t="shared" ca="1" si="20"/>
        <v>0</v>
      </c>
      <c r="AF65" s="395">
        <f t="shared" ca="1" si="21"/>
        <v>0</v>
      </c>
      <c r="AG65" s="395">
        <f t="shared" ca="1" si="22"/>
        <v>0</v>
      </c>
      <c r="AH65" s="395">
        <f t="shared" ca="1" si="23"/>
        <v>0</v>
      </c>
      <c r="AI65" s="395">
        <f t="shared" ca="1" si="24"/>
        <v>0</v>
      </c>
      <c r="AJ65" s="395">
        <f t="shared" ca="1" si="25"/>
        <v>0</v>
      </c>
      <c r="AK65" s="395">
        <f t="shared" ca="1" si="26"/>
        <v>0</v>
      </c>
      <c r="AL65" s="395">
        <f t="shared" ca="1" si="27"/>
        <v>0</v>
      </c>
      <c r="AM65" s="395">
        <f t="shared" ca="1" si="28"/>
        <v>0</v>
      </c>
      <c r="AN65" s="395">
        <f t="shared" ca="1" si="29"/>
        <v>20000</v>
      </c>
      <c r="AO65" s="395">
        <f t="shared" ca="1" si="30"/>
        <v>0</v>
      </c>
      <c r="AP65" s="395">
        <f t="shared" ca="1" si="31"/>
        <v>0</v>
      </c>
      <c r="AQ65" s="395">
        <f t="shared" ca="1" si="32"/>
        <v>0</v>
      </c>
      <c r="AR65" s="395">
        <f t="shared" ca="1" si="33"/>
        <v>0</v>
      </c>
      <c r="AS65" s="395">
        <f t="shared" ca="1" si="34"/>
        <v>0</v>
      </c>
      <c r="AT65" s="395">
        <f t="shared" ca="1" si="35"/>
        <v>0</v>
      </c>
      <c r="AU65" s="395">
        <f t="shared" ca="1" si="36"/>
        <v>0</v>
      </c>
      <c r="AV65" s="395">
        <f t="shared" ca="1" si="37"/>
        <v>0</v>
      </c>
      <c r="AW65" s="395">
        <f t="shared" ca="1" si="38"/>
        <v>0</v>
      </c>
    </row>
    <row r="66" spans="1:49" s="392" customFormat="1" ht="12" customHeight="1">
      <c r="A66" s="63">
        <f t="array" aca="1" ref="A66" ca="1">IF(C66&lt;&gt;0,SUM(($C$11:C66&lt;&gt;0)*1),"")</f>
        <v>56</v>
      </c>
      <c r="B66" s="393">
        <f ca="1">IF(ROWS($1:56)&gt;COUNT(Dong8),"",OFFSET(TH!C$1,SMALL(Dong8,ROWS($1:56)),))</f>
        <v>41906</v>
      </c>
      <c r="C66" s="393" t="str">
        <f ca="1">IF(ROWS($1:56)&gt;COUNT(Dong8),"",OFFSET(TH!D$1,SMALL(Dong8,ROWS($1:56)),))</f>
        <v>GBN</v>
      </c>
      <c r="D66" s="393">
        <f ca="1">IF(ROWS($1:56)&gt;COUNT(Dong8),"",OFFSET(TH!E$1,SMALL(Dong8,ROWS($1:56)),))</f>
        <v>41906</v>
      </c>
      <c r="E66" s="443" t="str">
        <f ca="1">IF(ROWS($1:56)&gt;COUNT(Dong8),"",OFFSET(TH!F$1,SMALL(Dong8,ROWS($1:56)),))</f>
        <v>VAT Phí điểu chỉnh lệnh chuyển tiền</v>
      </c>
      <c r="F66" s="444">
        <f ca="1">IF(ROWS($1:56)&gt;COUNT(Dong8),"",OFFSET(TH!I$1,SMALL(Dong8,ROWS($1:56)),))</f>
        <v>2000</v>
      </c>
      <c r="G66" s="456" t="str">
        <f ca="1">IF(ROWS($1:56)&gt;COUNT(Dong8),"",OFFSET(TH!J$1,SMALL(Dong8,ROWS($1:56)),))</f>
        <v>1331</v>
      </c>
      <c r="H66" s="456" t="str">
        <f ca="1">IF(ROWS($1:56)&gt;COUNT(Dong8),"",OFFSET(TH!K$1,SMALL(Dong8,ROWS($1:56)),))</f>
        <v>1121</v>
      </c>
      <c r="I66" s="63">
        <f t="shared" ca="1" si="41"/>
        <v>56</v>
      </c>
      <c r="J66" s="395">
        <f t="shared" ca="1" si="1"/>
        <v>0</v>
      </c>
      <c r="K66" s="395">
        <f t="shared" ca="1" si="2"/>
        <v>0</v>
      </c>
      <c r="L66" s="395">
        <f t="shared" ca="1" si="3"/>
        <v>0</v>
      </c>
      <c r="M66" s="395">
        <f t="shared" ca="1" si="4"/>
        <v>2000</v>
      </c>
      <c r="N66" s="395">
        <f t="shared" ca="1" si="5"/>
        <v>2000</v>
      </c>
      <c r="O66" s="395">
        <f t="shared" ca="1" si="6"/>
        <v>0</v>
      </c>
      <c r="P66" s="395">
        <f t="shared" ca="1" si="7"/>
        <v>0</v>
      </c>
      <c r="Q66" s="395">
        <f t="shared" ca="1" si="8"/>
        <v>0</v>
      </c>
      <c r="R66" s="395">
        <f t="shared" ca="1" si="39"/>
        <v>0</v>
      </c>
      <c r="S66" s="395">
        <f t="shared" ca="1" si="40"/>
        <v>0</v>
      </c>
      <c r="T66" s="395">
        <f t="shared" ca="1" si="9"/>
        <v>0</v>
      </c>
      <c r="U66" s="395">
        <f t="shared" ca="1" si="10"/>
        <v>0</v>
      </c>
      <c r="V66" s="395">
        <f t="shared" ca="1" si="11"/>
        <v>0</v>
      </c>
      <c r="W66" s="395">
        <f t="shared" ca="1" si="12"/>
        <v>0</v>
      </c>
      <c r="X66" s="395">
        <f t="shared" ca="1" si="13"/>
        <v>0</v>
      </c>
      <c r="Y66" s="395">
        <f t="shared" ca="1" si="14"/>
        <v>0</v>
      </c>
      <c r="Z66" s="395">
        <f t="shared" ca="1" si="15"/>
        <v>0</v>
      </c>
      <c r="AA66" s="395">
        <f t="shared" ca="1" si="16"/>
        <v>0</v>
      </c>
      <c r="AB66" s="395">
        <f t="shared" ca="1" si="17"/>
        <v>0</v>
      </c>
      <c r="AC66" s="395">
        <f t="shared" ca="1" si="18"/>
        <v>0</v>
      </c>
      <c r="AD66" s="395">
        <f t="shared" ca="1" si="19"/>
        <v>0</v>
      </c>
      <c r="AE66" s="395">
        <f t="shared" ca="1" si="20"/>
        <v>0</v>
      </c>
      <c r="AF66" s="395">
        <f t="shared" ca="1" si="21"/>
        <v>0</v>
      </c>
      <c r="AG66" s="395">
        <f t="shared" ca="1" si="22"/>
        <v>0</v>
      </c>
      <c r="AH66" s="395">
        <f t="shared" ca="1" si="23"/>
        <v>0</v>
      </c>
      <c r="AI66" s="395">
        <f t="shared" ca="1" si="24"/>
        <v>0</v>
      </c>
      <c r="AJ66" s="395">
        <f t="shared" ca="1" si="25"/>
        <v>0</v>
      </c>
      <c r="AK66" s="395">
        <f t="shared" ca="1" si="26"/>
        <v>0</v>
      </c>
      <c r="AL66" s="395">
        <f t="shared" ca="1" si="27"/>
        <v>0</v>
      </c>
      <c r="AM66" s="395">
        <f t="shared" ca="1" si="28"/>
        <v>0</v>
      </c>
      <c r="AN66" s="395">
        <f t="shared" ca="1" si="29"/>
        <v>0</v>
      </c>
      <c r="AO66" s="395">
        <f t="shared" ca="1" si="30"/>
        <v>0</v>
      </c>
      <c r="AP66" s="395">
        <f t="shared" ca="1" si="31"/>
        <v>0</v>
      </c>
      <c r="AQ66" s="395">
        <f t="shared" ca="1" si="32"/>
        <v>0</v>
      </c>
      <c r="AR66" s="395">
        <f t="shared" ca="1" si="33"/>
        <v>0</v>
      </c>
      <c r="AS66" s="395">
        <f t="shared" ca="1" si="34"/>
        <v>0</v>
      </c>
      <c r="AT66" s="395">
        <f t="shared" ca="1" si="35"/>
        <v>0</v>
      </c>
      <c r="AU66" s="395">
        <f t="shared" ca="1" si="36"/>
        <v>0</v>
      </c>
      <c r="AV66" s="395">
        <f t="shared" ca="1" si="37"/>
        <v>0</v>
      </c>
      <c r="AW66" s="395">
        <f t="shared" ca="1" si="38"/>
        <v>0</v>
      </c>
    </row>
    <row r="67" spans="1:49" s="392" customFormat="1" ht="12" customHeight="1">
      <c r="A67" s="63">
        <f t="array" aca="1" ref="A67" ca="1">IF(C67&lt;&gt;0,SUM(($C$11:C67&lt;&gt;0)*1),"")</f>
        <v>57</v>
      </c>
      <c r="B67" s="393">
        <f ca="1">IF(ROWS($1:57)&gt;COUNT(Dong8),"",OFFSET(TH!C$1,SMALL(Dong8,ROWS($1:57)),))</f>
        <v>41907</v>
      </c>
      <c r="C67" s="393" t="str">
        <f ca="1">IF(ROWS($1:57)&gt;COUNT(Dong8),"",OFFSET(TH!D$1,SMALL(Dong8,ROWS($1:57)),))</f>
        <v>GBC</v>
      </c>
      <c r="D67" s="393">
        <f ca="1">IF(ROWS($1:57)&gt;COUNT(Dong8),"",OFFSET(TH!E$1,SMALL(Dong8,ROWS($1:57)),))</f>
        <v>41907</v>
      </c>
      <c r="E67" s="443" t="str">
        <f ca="1">IF(ROWS($1:57)&gt;COUNT(Dong8),"",OFFSET(TH!F$1,SMALL(Dong8,ROWS($1:57)),))</f>
        <v>Lãi tiền gửi</v>
      </c>
      <c r="F67" s="444">
        <f ca="1">IF(ROWS($1:57)&gt;COUNT(Dong8),"",OFFSET(TH!I$1,SMALL(Dong8,ROWS($1:57)),))</f>
        <v>199881</v>
      </c>
      <c r="G67" s="456" t="str">
        <f ca="1">IF(ROWS($1:57)&gt;COUNT(Dong8),"",OFFSET(TH!J$1,SMALL(Dong8,ROWS($1:57)),))</f>
        <v>1121</v>
      </c>
      <c r="H67" s="456" t="str">
        <f ca="1">IF(ROWS($1:57)&gt;COUNT(Dong8),"",OFFSET(TH!K$1,SMALL(Dong8,ROWS($1:57)),))</f>
        <v>515</v>
      </c>
      <c r="I67" s="63">
        <f t="shared" ca="1" si="41"/>
        <v>57</v>
      </c>
      <c r="J67" s="395">
        <f t="shared" ca="1" si="1"/>
        <v>0</v>
      </c>
      <c r="K67" s="395">
        <f t="shared" ca="1" si="2"/>
        <v>0</v>
      </c>
      <c r="L67" s="395">
        <f t="shared" ca="1" si="3"/>
        <v>199881</v>
      </c>
      <c r="M67" s="395">
        <f t="shared" ca="1" si="4"/>
        <v>0</v>
      </c>
      <c r="N67" s="395">
        <f t="shared" ca="1" si="5"/>
        <v>0</v>
      </c>
      <c r="O67" s="395">
        <f t="shared" ca="1" si="6"/>
        <v>0</v>
      </c>
      <c r="P67" s="395">
        <f t="shared" ca="1" si="7"/>
        <v>0</v>
      </c>
      <c r="Q67" s="395">
        <f t="shared" ca="1" si="8"/>
        <v>0</v>
      </c>
      <c r="R67" s="395">
        <f t="shared" ca="1" si="39"/>
        <v>0</v>
      </c>
      <c r="S67" s="395">
        <f t="shared" ca="1" si="40"/>
        <v>0</v>
      </c>
      <c r="T67" s="395">
        <f t="shared" ca="1" si="9"/>
        <v>0</v>
      </c>
      <c r="U67" s="395">
        <f t="shared" ca="1" si="10"/>
        <v>0</v>
      </c>
      <c r="V67" s="395">
        <f t="shared" ca="1" si="11"/>
        <v>0</v>
      </c>
      <c r="W67" s="395">
        <f t="shared" ca="1" si="12"/>
        <v>0</v>
      </c>
      <c r="X67" s="395">
        <f t="shared" ca="1" si="13"/>
        <v>0</v>
      </c>
      <c r="Y67" s="395">
        <f t="shared" ca="1" si="14"/>
        <v>0</v>
      </c>
      <c r="Z67" s="395">
        <f t="shared" ca="1" si="15"/>
        <v>0</v>
      </c>
      <c r="AA67" s="395">
        <f t="shared" ca="1" si="16"/>
        <v>0</v>
      </c>
      <c r="AB67" s="395">
        <f t="shared" ca="1" si="17"/>
        <v>0</v>
      </c>
      <c r="AC67" s="395">
        <f t="shared" ca="1" si="18"/>
        <v>0</v>
      </c>
      <c r="AD67" s="395">
        <f t="shared" ca="1" si="19"/>
        <v>0</v>
      </c>
      <c r="AE67" s="395">
        <f t="shared" ca="1" si="20"/>
        <v>0</v>
      </c>
      <c r="AF67" s="395">
        <f t="shared" ca="1" si="21"/>
        <v>0</v>
      </c>
      <c r="AG67" s="395">
        <f t="shared" ca="1" si="22"/>
        <v>0</v>
      </c>
      <c r="AH67" s="395">
        <f t="shared" ca="1" si="23"/>
        <v>0</v>
      </c>
      <c r="AI67" s="395">
        <f t="shared" ca="1" si="24"/>
        <v>0</v>
      </c>
      <c r="AJ67" s="395">
        <f t="shared" ca="1" si="25"/>
        <v>0</v>
      </c>
      <c r="AK67" s="395">
        <f t="shared" ca="1" si="26"/>
        <v>199881</v>
      </c>
      <c r="AL67" s="395">
        <f t="shared" ca="1" si="27"/>
        <v>0</v>
      </c>
      <c r="AM67" s="395">
        <f t="shared" ca="1" si="28"/>
        <v>0</v>
      </c>
      <c r="AN67" s="395">
        <f t="shared" ca="1" si="29"/>
        <v>0</v>
      </c>
      <c r="AO67" s="395">
        <f t="shared" ca="1" si="30"/>
        <v>0</v>
      </c>
      <c r="AP67" s="395">
        <f t="shared" ca="1" si="31"/>
        <v>0</v>
      </c>
      <c r="AQ67" s="395">
        <f t="shared" ca="1" si="32"/>
        <v>0</v>
      </c>
      <c r="AR67" s="395">
        <f t="shared" ca="1" si="33"/>
        <v>0</v>
      </c>
      <c r="AS67" s="395">
        <f t="shared" ca="1" si="34"/>
        <v>0</v>
      </c>
      <c r="AT67" s="395">
        <f t="shared" ca="1" si="35"/>
        <v>0</v>
      </c>
      <c r="AU67" s="395">
        <f t="shared" ca="1" si="36"/>
        <v>0</v>
      </c>
      <c r="AV67" s="395">
        <f t="shared" ca="1" si="37"/>
        <v>0</v>
      </c>
      <c r="AW67" s="395">
        <f t="shared" ca="1" si="38"/>
        <v>0</v>
      </c>
    </row>
    <row r="68" spans="1:49" s="392" customFormat="1" ht="12" customHeight="1">
      <c r="A68" s="63">
        <f t="array" aca="1" ref="A68" ca="1">IF(C68&lt;&gt;0,SUM(($C$11:C68&lt;&gt;0)*1),"")</f>
        <v>58</v>
      </c>
      <c r="B68" s="393">
        <f ca="1">IF(ROWS($1:58)&gt;COUNT(Dong8),"",OFFSET(TH!C$1,SMALL(Dong8,ROWS($1:58)),))</f>
        <v>41907</v>
      </c>
      <c r="C68" s="393" t="str">
        <f ca="1">IF(ROWS($1:58)&gt;COUNT(Dong8),"",OFFSET(TH!D$1,SMALL(Dong8,ROWS($1:58)),))</f>
        <v>GBN</v>
      </c>
      <c r="D68" s="393">
        <f ca="1">IF(ROWS($1:58)&gt;COUNT(Dong8),"",OFFSET(TH!E$1,SMALL(Dong8,ROWS($1:58)),))</f>
        <v>41907</v>
      </c>
      <c r="E68" s="443" t="str">
        <f ca="1">IF(ROWS($1:58)&gt;COUNT(Dong8),"",OFFSET(TH!F$1,SMALL(Dong8,ROWS($1:58)),))</f>
        <v xml:space="preserve">Phí điểu chỉnh lệnh chuyển tiền </v>
      </c>
      <c r="F68" s="444">
        <f ca="1">IF(ROWS($1:58)&gt;COUNT(Dong8),"",OFFSET(TH!I$1,SMALL(Dong8,ROWS($1:58)),))</f>
        <v>20000</v>
      </c>
      <c r="G68" s="456" t="str">
        <f ca="1">IF(ROWS($1:58)&gt;COUNT(Dong8),"",OFFSET(TH!J$1,SMALL(Dong8,ROWS($1:58)),))</f>
        <v>642</v>
      </c>
      <c r="H68" s="456" t="str">
        <f ca="1">IF(ROWS($1:58)&gt;COUNT(Dong8),"",OFFSET(TH!K$1,SMALL(Dong8,ROWS($1:58)),))</f>
        <v>1121</v>
      </c>
      <c r="I68" s="63">
        <f t="shared" ca="1" si="41"/>
        <v>58</v>
      </c>
      <c r="J68" s="395">
        <f t="shared" ca="1" si="1"/>
        <v>0</v>
      </c>
      <c r="K68" s="395">
        <f t="shared" ca="1" si="2"/>
        <v>0</v>
      </c>
      <c r="L68" s="395">
        <f t="shared" ca="1" si="3"/>
        <v>0</v>
      </c>
      <c r="M68" s="395">
        <f t="shared" ca="1" si="4"/>
        <v>20000</v>
      </c>
      <c r="N68" s="395">
        <f t="shared" ca="1" si="5"/>
        <v>0</v>
      </c>
      <c r="O68" s="395">
        <f t="shared" ca="1" si="6"/>
        <v>0</v>
      </c>
      <c r="P68" s="395">
        <f t="shared" ca="1" si="7"/>
        <v>0</v>
      </c>
      <c r="Q68" s="395">
        <f t="shared" ca="1" si="8"/>
        <v>0</v>
      </c>
      <c r="R68" s="395">
        <f t="shared" ca="1" si="39"/>
        <v>0</v>
      </c>
      <c r="S68" s="395">
        <f t="shared" ca="1" si="40"/>
        <v>0</v>
      </c>
      <c r="T68" s="395">
        <f t="shared" ca="1" si="9"/>
        <v>0</v>
      </c>
      <c r="U68" s="395">
        <f t="shared" ca="1" si="10"/>
        <v>0</v>
      </c>
      <c r="V68" s="395">
        <f t="shared" ca="1" si="11"/>
        <v>0</v>
      </c>
      <c r="W68" s="395">
        <f t="shared" ca="1" si="12"/>
        <v>0</v>
      </c>
      <c r="X68" s="395">
        <f t="shared" ca="1" si="13"/>
        <v>0</v>
      </c>
      <c r="Y68" s="395">
        <f t="shared" ca="1" si="14"/>
        <v>0</v>
      </c>
      <c r="Z68" s="395">
        <f t="shared" ca="1" si="15"/>
        <v>0</v>
      </c>
      <c r="AA68" s="395">
        <f t="shared" ca="1" si="16"/>
        <v>0</v>
      </c>
      <c r="AB68" s="395">
        <f t="shared" ca="1" si="17"/>
        <v>0</v>
      </c>
      <c r="AC68" s="395">
        <f t="shared" ca="1" si="18"/>
        <v>0</v>
      </c>
      <c r="AD68" s="395">
        <f t="shared" ca="1" si="19"/>
        <v>0</v>
      </c>
      <c r="AE68" s="395">
        <f t="shared" ca="1" si="20"/>
        <v>0</v>
      </c>
      <c r="AF68" s="395">
        <f t="shared" ca="1" si="21"/>
        <v>0</v>
      </c>
      <c r="AG68" s="395">
        <f t="shared" ca="1" si="22"/>
        <v>0</v>
      </c>
      <c r="AH68" s="395">
        <f t="shared" ca="1" si="23"/>
        <v>0</v>
      </c>
      <c r="AI68" s="395">
        <f t="shared" ca="1" si="24"/>
        <v>0</v>
      </c>
      <c r="AJ68" s="395">
        <f t="shared" ca="1" si="25"/>
        <v>0</v>
      </c>
      <c r="AK68" s="395">
        <f t="shared" ca="1" si="26"/>
        <v>0</v>
      </c>
      <c r="AL68" s="395">
        <f t="shared" ca="1" si="27"/>
        <v>0</v>
      </c>
      <c r="AM68" s="395">
        <f t="shared" ca="1" si="28"/>
        <v>0</v>
      </c>
      <c r="AN68" s="395">
        <f t="shared" ca="1" si="29"/>
        <v>20000</v>
      </c>
      <c r="AO68" s="395">
        <f t="shared" ca="1" si="30"/>
        <v>0</v>
      </c>
      <c r="AP68" s="395">
        <f t="shared" ca="1" si="31"/>
        <v>0</v>
      </c>
      <c r="AQ68" s="395">
        <f t="shared" ca="1" si="32"/>
        <v>0</v>
      </c>
      <c r="AR68" s="395">
        <f t="shared" ca="1" si="33"/>
        <v>0</v>
      </c>
      <c r="AS68" s="395">
        <f t="shared" ca="1" si="34"/>
        <v>0</v>
      </c>
      <c r="AT68" s="395">
        <f t="shared" ca="1" si="35"/>
        <v>0</v>
      </c>
      <c r="AU68" s="395">
        <f t="shared" ca="1" si="36"/>
        <v>0</v>
      </c>
      <c r="AV68" s="395">
        <f t="shared" ca="1" si="37"/>
        <v>0</v>
      </c>
      <c r="AW68" s="395">
        <f t="shared" ca="1" si="38"/>
        <v>0</v>
      </c>
    </row>
    <row r="69" spans="1:49" s="392" customFormat="1" ht="12" customHeight="1">
      <c r="A69" s="63">
        <f t="array" aca="1" ref="A69" ca="1">IF(C69&lt;&gt;0,SUM(($C$11:C69&lt;&gt;0)*1),"")</f>
        <v>59</v>
      </c>
      <c r="B69" s="393">
        <f ca="1">IF(ROWS($1:59)&gt;COUNT(Dong8),"",OFFSET(TH!C$1,SMALL(Dong8,ROWS($1:59)),))</f>
        <v>41907</v>
      </c>
      <c r="C69" s="393" t="str">
        <f ca="1">IF(ROWS($1:59)&gt;COUNT(Dong8),"",OFFSET(TH!D$1,SMALL(Dong8,ROWS($1:59)),))</f>
        <v>GBN</v>
      </c>
      <c r="D69" s="393">
        <f ca="1">IF(ROWS($1:59)&gt;COUNT(Dong8),"",OFFSET(TH!E$1,SMALL(Dong8,ROWS($1:59)),))</f>
        <v>41907</v>
      </c>
      <c r="E69" s="443" t="str">
        <f ca="1">IF(ROWS($1:59)&gt;COUNT(Dong8),"",OFFSET(TH!F$1,SMALL(Dong8,ROWS($1:59)),))</f>
        <v>VAT Phí điểu chỉnh lệnh chuyển tiền</v>
      </c>
      <c r="F69" s="444">
        <f ca="1">IF(ROWS($1:59)&gt;COUNT(Dong8),"",OFFSET(TH!I$1,SMALL(Dong8,ROWS($1:59)),))</f>
        <v>2000</v>
      </c>
      <c r="G69" s="456" t="str">
        <f ca="1">IF(ROWS($1:59)&gt;COUNT(Dong8),"",OFFSET(TH!J$1,SMALL(Dong8,ROWS($1:59)),))</f>
        <v>1331</v>
      </c>
      <c r="H69" s="456" t="str">
        <f ca="1">IF(ROWS($1:59)&gt;COUNT(Dong8),"",OFFSET(TH!K$1,SMALL(Dong8,ROWS($1:59)),))</f>
        <v>1121</v>
      </c>
      <c r="I69" s="63">
        <f t="shared" ca="1" si="41"/>
        <v>59</v>
      </c>
      <c r="J69" s="395">
        <f t="shared" ca="1" si="1"/>
        <v>0</v>
      </c>
      <c r="K69" s="395">
        <f t="shared" ca="1" si="2"/>
        <v>0</v>
      </c>
      <c r="L69" s="395">
        <f t="shared" ca="1" si="3"/>
        <v>0</v>
      </c>
      <c r="M69" s="395">
        <f t="shared" ca="1" si="4"/>
        <v>2000</v>
      </c>
      <c r="N69" s="395">
        <f t="shared" ca="1" si="5"/>
        <v>2000</v>
      </c>
      <c r="O69" s="395">
        <f t="shared" ca="1" si="6"/>
        <v>0</v>
      </c>
      <c r="P69" s="395">
        <f t="shared" ca="1" si="7"/>
        <v>0</v>
      </c>
      <c r="Q69" s="395">
        <f t="shared" ca="1" si="8"/>
        <v>0</v>
      </c>
      <c r="R69" s="395">
        <f t="shared" ca="1" si="39"/>
        <v>0</v>
      </c>
      <c r="S69" s="395">
        <f t="shared" ca="1" si="40"/>
        <v>0</v>
      </c>
      <c r="T69" s="395">
        <f t="shared" ca="1" si="9"/>
        <v>0</v>
      </c>
      <c r="U69" s="395">
        <f t="shared" ca="1" si="10"/>
        <v>0</v>
      </c>
      <c r="V69" s="395">
        <f t="shared" ca="1" si="11"/>
        <v>0</v>
      </c>
      <c r="W69" s="395">
        <f t="shared" ca="1" si="12"/>
        <v>0</v>
      </c>
      <c r="X69" s="395">
        <f t="shared" ca="1" si="13"/>
        <v>0</v>
      </c>
      <c r="Y69" s="395">
        <f t="shared" ca="1" si="14"/>
        <v>0</v>
      </c>
      <c r="Z69" s="395">
        <f t="shared" ca="1" si="15"/>
        <v>0</v>
      </c>
      <c r="AA69" s="395">
        <f t="shared" ca="1" si="16"/>
        <v>0</v>
      </c>
      <c r="AB69" s="395">
        <f t="shared" ca="1" si="17"/>
        <v>0</v>
      </c>
      <c r="AC69" s="395">
        <f t="shared" ca="1" si="18"/>
        <v>0</v>
      </c>
      <c r="AD69" s="395">
        <f t="shared" ca="1" si="19"/>
        <v>0</v>
      </c>
      <c r="AE69" s="395">
        <f t="shared" ca="1" si="20"/>
        <v>0</v>
      </c>
      <c r="AF69" s="395">
        <f t="shared" ca="1" si="21"/>
        <v>0</v>
      </c>
      <c r="AG69" s="395">
        <f t="shared" ca="1" si="22"/>
        <v>0</v>
      </c>
      <c r="AH69" s="395">
        <f t="shared" ca="1" si="23"/>
        <v>0</v>
      </c>
      <c r="AI69" s="395">
        <f t="shared" ca="1" si="24"/>
        <v>0</v>
      </c>
      <c r="AJ69" s="395">
        <f t="shared" ca="1" si="25"/>
        <v>0</v>
      </c>
      <c r="AK69" s="395">
        <f t="shared" ca="1" si="26"/>
        <v>0</v>
      </c>
      <c r="AL69" s="395">
        <f t="shared" ca="1" si="27"/>
        <v>0</v>
      </c>
      <c r="AM69" s="395">
        <f t="shared" ca="1" si="28"/>
        <v>0</v>
      </c>
      <c r="AN69" s="395">
        <f t="shared" ca="1" si="29"/>
        <v>0</v>
      </c>
      <c r="AO69" s="395">
        <f t="shared" ca="1" si="30"/>
        <v>0</v>
      </c>
      <c r="AP69" s="395">
        <f t="shared" ca="1" si="31"/>
        <v>0</v>
      </c>
      <c r="AQ69" s="395">
        <f t="shared" ca="1" si="32"/>
        <v>0</v>
      </c>
      <c r="AR69" s="395">
        <f t="shared" ca="1" si="33"/>
        <v>0</v>
      </c>
      <c r="AS69" s="395">
        <f t="shared" ca="1" si="34"/>
        <v>0</v>
      </c>
      <c r="AT69" s="395">
        <f t="shared" ca="1" si="35"/>
        <v>0</v>
      </c>
      <c r="AU69" s="395">
        <f t="shared" ca="1" si="36"/>
        <v>0</v>
      </c>
      <c r="AV69" s="395">
        <f t="shared" ca="1" si="37"/>
        <v>0</v>
      </c>
      <c r="AW69" s="395">
        <f t="shared" ca="1" si="38"/>
        <v>0</v>
      </c>
    </row>
    <row r="70" spans="1:49" s="392" customFormat="1" ht="12" customHeight="1">
      <c r="A70" s="63">
        <f t="array" aca="1" ref="A70" ca="1">IF(C70&lt;&gt;0,SUM(($C$11:C70&lt;&gt;0)*1),"")</f>
        <v>60</v>
      </c>
      <c r="B70" s="393">
        <f ca="1">IF(ROWS($1:60)&gt;COUNT(Dong8),"",OFFSET(TH!C$1,SMALL(Dong8,ROWS($1:60)),))</f>
        <v>41907</v>
      </c>
      <c r="C70" s="393" t="str">
        <f ca="1">IF(ROWS($1:60)&gt;COUNT(Dong8),"",OFFSET(TH!D$1,SMALL(Dong8,ROWS($1:60)),))</f>
        <v>GBN</v>
      </c>
      <c r="D70" s="393">
        <f ca="1">IF(ROWS($1:60)&gt;COUNT(Dong8),"",OFFSET(TH!E$1,SMALL(Dong8,ROWS($1:60)),))</f>
        <v>41907</v>
      </c>
      <c r="E70" s="443" t="str">
        <f ca="1">IF(ROWS($1:60)&gt;COUNT(Dong8),"",OFFSET(TH!F$1,SMALL(Dong8,ROWS($1:60)),))</f>
        <v>Phí duy trì DV SMS - 0903921945</v>
      </c>
      <c r="F70" s="444">
        <f ca="1">IF(ROWS($1:60)&gt;COUNT(Dong8),"",OFFSET(TH!I$1,SMALL(Dong8,ROWS($1:60)),))</f>
        <v>50000</v>
      </c>
      <c r="G70" s="456" t="str">
        <f ca="1">IF(ROWS($1:60)&gt;COUNT(Dong8),"",OFFSET(TH!J$1,SMALL(Dong8,ROWS($1:60)),))</f>
        <v>642</v>
      </c>
      <c r="H70" s="456" t="str">
        <f ca="1">IF(ROWS($1:60)&gt;COUNT(Dong8),"",OFFSET(TH!K$1,SMALL(Dong8,ROWS($1:60)),))</f>
        <v>1121</v>
      </c>
      <c r="I70" s="63">
        <f t="shared" ca="1" si="41"/>
        <v>60</v>
      </c>
      <c r="J70" s="395">
        <f t="shared" ca="1" si="1"/>
        <v>0</v>
      </c>
      <c r="K70" s="395">
        <f t="shared" ca="1" si="2"/>
        <v>0</v>
      </c>
      <c r="L70" s="395">
        <f t="shared" ca="1" si="3"/>
        <v>0</v>
      </c>
      <c r="M70" s="395">
        <f t="shared" ca="1" si="4"/>
        <v>50000</v>
      </c>
      <c r="N70" s="395">
        <f t="shared" ca="1" si="5"/>
        <v>0</v>
      </c>
      <c r="O70" s="395">
        <f t="shared" ca="1" si="6"/>
        <v>0</v>
      </c>
      <c r="P70" s="395">
        <f t="shared" ca="1" si="7"/>
        <v>0</v>
      </c>
      <c r="Q70" s="395">
        <f t="shared" ca="1" si="8"/>
        <v>0</v>
      </c>
      <c r="R70" s="395">
        <f t="shared" ca="1" si="39"/>
        <v>0</v>
      </c>
      <c r="S70" s="395">
        <f t="shared" ca="1" si="40"/>
        <v>0</v>
      </c>
      <c r="T70" s="395">
        <f t="shared" ca="1" si="9"/>
        <v>0</v>
      </c>
      <c r="U70" s="395">
        <f t="shared" ca="1" si="10"/>
        <v>0</v>
      </c>
      <c r="V70" s="395">
        <f t="shared" ca="1" si="11"/>
        <v>0</v>
      </c>
      <c r="W70" s="395">
        <f t="shared" ca="1" si="12"/>
        <v>0</v>
      </c>
      <c r="X70" s="395">
        <f t="shared" ca="1" si="13"/>
        <v>0</v>
      </c>
      <c r="Y70" s="395">
        <f t="shared" ca="1" si="14"/>
        <v>0</v>
      </c>
      <c r="Z70" s="395">
        <f t="shared" ca="1" si="15"/>
        <v>0</v>
      </c>
      <c r="AA70" s="395">
        <f t="shared" ca="1" si="16"/>
        <v>0</v>
      </c>
      <c r="AB70" s="395">
        <f t="shared" ca="1" si="17"/>
        <v>0</v>
      </c>
      <c r="AC70" s="395">
        <f t="shared" ca="1" si="18"/>
        <v>0</v>
      </c>
      <c r="AD70" s="395">
        <f t="shared" ca="1" si="19"/>
        <v>0</v>
      </c>
      <c r="AE70" s="395">
        <f t="shared" ca="1" si="20"/>
        <v>0</v>
      </c>
      <c r="AF70" s="395">
        <f t="shared" ca="1" si="21"/>
        <v>0</v>
      </c>
      <c r="AG70" s="395">
        <f t="shared" ca="1" si="22"/>
        <v>0</v>
      </c>
      <c r="AH70" s="395">
        <f t="shared" ca="1" si="23"/>
        <v>0</v>
      </c>
      <c r="AI70" s="395">
        <f t="shared" ca="1" si="24"/>
        <v>0</v>
      </c>
      <c r="AJ70" s="395">
        <f t="shared" ca="1" si="25"/>
        <v>0</v>
      </c>
      <c r="AK70" s="395">
        <f t="shared" ca="1" si="26"/>
        <v>0</v>
      </c>
      <c r="AL70" s="395">
        <f t="shared" ca="1" si="27"/>
        <v>0</v>
      </c>
      <c r="AM70" s="395">
        <f t="shared" ca="1" si="28"/>
        <v>0</v>
      </c>
      <c r="AN70" s="395">
        <f t="shared" ca="1" si="29"/>
        <v>50000</v>
      </c>
      <c r="AO70" s="395">
        <f t="shared" ca="1" si="30"/>
        <v>0</v>
      </c>
      <c r="AP70" s="395">
        <f t="shared" ca="1" si="31"/>
        <v>0</v>
      </c>
      <c r="AQ70" s="395">
        <f t="shared" ca="1" si="32"/>
        <v>0</v>
      </c>
      <c r="AR70" s="395">
        <f t="shared" ca="1" si="33"/>
        <v>0</v>
      </c>
      <c r="AS70" s="395">
        <f t="shared" ca="1" si="34"/>
        <v>0</v>
      </c>
      <c r="AT70" s="395">
        <f t="shared" ca="1" si="35"/>
        <v>0</v>
      </c>
      <c r="AU70" s="395">
        <f t="shared" ca="1" si="36"/>
        <v>0</v>
      </c>
      <c r="AV70" s="395">
        <f t="shared" ca="1" si="37"/>
        <v>0</v>
      </c>
      <c r="AW70" s="395">
        <f t="shared" ca="1" si="38"/>
        <v>0</v>
      </c>
    </row>
    <row r="71" spans="1:49" s="392" customFormat="1" ht="12" customHeight="1">
      <c r="A71" s="63">
        <f t="array" aca="1" ref="A71" ca="1">IF(C71&lt;&gt;0,SUM(($C$11:C71&lt;&gt;0)*1),"")</f>
        <v>61</v>
      </c>
      <c r="B71" s="393">
        <f ca="1">IF(ROWS($1:61)&gt;COUNT(Dong8),"",OFFSET(TH!C$1,SMALL(Dong8,ROWS($1:61)),))</f>
        <v>41907</v>
      </c>
      <c r="C71" s="393" t="str">
        <f ca="1">IF(ROWS($1:61)&gt;COUNT(Dong8),"",OFFSET(TH!D$1,SMALL(Dong8,ROWS($1:61)),))</f>
        <v>GBN</v>
      </c>
      <c r="D71" s="393">
        <f ca="1">IF(ROWS($1:61)&gt;COUNT(Dong8),"",OFFSET(TH!E$1,SMALL(Dong8,ROWS($1:61)),))</f>
        <v>41907</v>
      </c>
      <c r="E71" s="443" t="str">
        <f ca="1">IF(ROWS($1:61)&gt;COUNT(Dong8),"",OFFSET(TH!F$1,SMALL(Dong8,ROWS($1:61)),))</f>
        <v>VAT Phí duy trì DV SMS</v>
      </c>
      <c r="F71" s="444">
        <f ca="1">IF(ROWS($1:61)&gt;COUNT(Dong8),"",OFFSET(TH!I$1,SMALL(Dong8,ROWS($1:61)),))</f>
        <v>5000</v>
      </c>
      <c r="G71" s="456" t="str">
        <f ca="1">IF(ROWS($1:61)&gt;COUNT(Dong8),"",OFFSET(TH!J$1,SMALL(Dong8,ROWS($1:61)),))</f>
        <v>1331</v>
      </c>
      <c r="H71" s="456" t="str">
        <f ca="1">IF(ROWS($1:61)&gt;COUNT(Dong8),"",OFFSET(TH!K$1,SMALL(Dong8,ROWS($1:61)),))</f>
        <v>1121</v>
      </c>
      <c r="I71" s="63">
        <f t="shared" ca="1" si="41"/>
        <v>61</v>
      </c>
      <c r="J71" s="395">
        <f t="shared" ca="1" si="1"/>
        <v>0</v>
      </c>
      <c r="K71" s="395">
        <f t="shared" ca="1" si="2"/>
        <v>0</v>
      </c>
      <c r="L71" s="395">
        <f t="shared" ca="1" si="3"/>
        <v>0</v>
      </c>
      <c r="M71" s="395">
        <f t="shared" ca="1" si="4"/>
        <v>5000</v>
      </c>
      <c r="N71" s="395">
        <f t="shared" ca="1" si="5"/>
        <v>5000</v>
      </c>
      <c r="O71" s="395">
        <f t="shared" ca="1" si="6"/>
        <v>0</v>
      </c>
      <c r="P71" s="395">
        <f t="shared" ca="1" si="7"/>
        <v>0</v>
      </c>
      <c r="Q71" s="395">
        <f t="shared" ca="1" si="8"/>
        <v>0</v>
      </c>
      <c r="R71" s="395">
        <f t="shared" ca="1" si="39"/>
        <v>0</v>
      </c>
      <c r="S71" s="395">
        <f t="shared" ca="1" si="40"/>
        <v>0</v>
      </c>
      <c r="T71" s="395">
        <f t="shared" ca="1" si="9"/>
        <v>0</v>
      </c>
      <c r="U71" s="395">
        <f t="shared" ca="1" si="10"/>
        <v>0</v>
      </c>
      <c r="V71" s="395">
        <f t="shared" ca="1" si="11"/>
        <v>0</v>
      </c>
      <c r="W71" s="395">
        <f t="shared" ca="1" si="12"/>
        <v>0</v>
      </c>
      <c r="X71" s="395">
        <f t="shared" ca="1" si="13"/>
        <v>0</v>
      </c>
      <c r="Y71" s="395">
        <f t="shared" ca="1" si="14"/>
        <v>0</v>
      </c>
      <c r="Z71" s="395">
        <f t="shared" ca="1" si="15"/>
        <v>0</v>
      </c>
      <c r="AA71" s="395">
        <f t="shared" ca="1" si="16"/>
        <v>0</v>
      </c>
      <c r="AB71" s="395">
        <f t="shared" ca="1" si="17"/>
        <v>0</v>
      </c>
      <c r="AC71" s="395">
        <f t="shared" ca="1" si="18"/>
        <v>0</v>
      </c>
      <c r="AD71" s="395">
        <f t="shared" ca="1" si="19"/>
        <v>0</v>
      </c>
      <c r="AE71" s="395">
        <f t="shared" ca="1" si="20"/>
        <v>0</v>
      </c>
      <c r="AF71" s="395">
        <f t="shared" ca="1" si="21"/>
        <v>0</v>
      </c>
      <c r="AG71" s="395">
        <f t="shared" ca="1" si="22"/>
        <v>0</v>
      </c>
      <c r="AH71" s="395">
        <f t="shared" ca="1" si="23"/>
        <v>0</v>
      </c>
      <c r="AI71" s="395">
        <f t="shared" ca="1" si="24"/>
        <v>0</v>
      </c>
      <c r="AJ71" s="395">
        <f t="shared" ca="1" si="25"/>
        <v>0</v>
      </c>
      <c r="AK71" s="395">
        <f t="shared" ca="1" si="26"/>
        <v>0</v>
      </c>
      <c r="AL71" s="395">
        <f t="shared" ca="1" si="27"/>
        <v>0</v>
      </c>
      <c r="AM71" s="395">
        <f t="shared" ca="1" si="28"/>
        <v>0</v>
      </c>
      <c r="AN71" s="395">
        <f t="shared" ca="1" si="29"/>
        <v>0</v>
      </c>
      <c r="AO71" s="395">
        <f t="shared" ca="1" si="30"/>
        <v>0</v>
      </c>
      <c r="AP71" s="395">
        <f t="shared" ca="1" si="31"/>
        <v>0</v>
      </c>
      <c r="AQ71" s="395">
        <f t="shared" ca="1" si="32"/>
        <v>0</v>
      </c>
      <c r="AR71" s="395">
        <f t="shared" ca="1" si="33"/>
        <v>0</v>
      </c>
      <c r="AS71" s="395">
        <f t="shared" ca="1" si="34"/>
        <v>0</v>
      </c>
      <c r="AT71" s="395">
        <f t="shared" ca="1" si="35"/>
        <v>0</v>
      </c>
      <c r="AU71" s="395">
        <f t="shared" ca="1" si="36"/>
        <v>0</v>
      </c>
      <c r="AV71" s="395">
        <f t="shared" ca="1" si="37"/>
        <v>0</v>
      </c>
      <c r="AW71" s="395">
        <f t="shared" ca="1" si="38"/>
        <v>0</v>
      </c>
    </row>
    <row r="72" spans="1:49" s="392" customFormat="1" ht="12" customHeight="1">
      <c r="A72" s="63">
        <f t="array" aca="1" ref="A72" ca="1">IF(C72&lt;&gt;0,SUM(($C$11:C72&lt;&gt;0)*1),"")</f>
        <v>62</v>
      </c>
      <c r="B72" s="393">
        <f ca="1">IF(ROWS($1:62)&gt;COUNT(Dong8),"",OFFSET(TH!C$1,SMALL(Dong8,ROWS($1:62)),))</f>
        <v>41907</v>
      </c>
      <c r="C72" s="393" t="str">
        <f ca="1">IF(ROWS($1:62)&gt;COUNT(Dong8),"",OFFSET(TH!D$1,SMALL(Dong8,ROWS($1:62)),))</f>
        <v>GBN</v>
      </c>
      <c r="D72" s="393">
        <f ca="1">IF(ROWS($1:62)&gt;COUNT(Dong8),"",OFFSET(TH!E$1,SMALL(Dong8,ROWS($1:62)),))</f>
        <v>41907</v>
      </c>
      <c r="E72" s="443" t="str">
        <f ca="1">IF(ROWS($1:62)&gt;COUNT(Dong8),"",OFFSET(TH!F$1,SMALL(Dong8,ROWS($1:62)),))</f>
        <v>Phí duy trì DV SMS - 0913906967</v>
      </c>
      <c r="F72" s="444">
        <f ca="1">IF(ROWS($1:62)&gt;COUNT(Dong8),"",OFFSET(TH!I$1,SMALL(Dong8,ROWS($1:62)),))</f>
        <v>50000</v>
      </c>
      <c r="G72" s="456" t="str">
        <f ca="1">IF(ROWS($1:62)&gt;COUNT(Dong8),"",OFFSET(TH!J$1,SMALL(Dong8,ROWS($1:62)),))</f>
        <v>642</v>
      </c>
      <c r="H72" s="456" t="str">
        <f ca="1">IF(ROWS($1:62)&gt;COUNT(Dong8),"",OFFSET(TH!K$1,SMALL(Dong8,ROWS($1:62)),))</f>
        <v>1121</v>
      </c>
      <c r="I72" s="63">
        <f t="shared" ca="1" si="41"/>
        <v>62</v>
      </c>
      <c r="J72" s="395">
        <f t="shared" ca="1" si="1"/>
        <v>0</v>
      </c>
      <c r="K72" s="395">
        <f t="shared" ca="1" si="2"/>
        <v>0</v>
      </c>
      <c r="L72" s="395">
        <f t="shared" ca="1" si="3"/>
        <v>0</v>
      </c>
      <c r="M72" s="395">
        <f t="shared" ca="1" si="4"/>
        <v>50000</v>
      </c>
      <c r="N72" s="395">
        <f t="shared" ca="1" si="5"/>
        <v>0</v>
      </c>
      <c r="O72" s="395">
        <f t="shared" ca="1" si="6"/>
        <v>0</v>
      </c>
      <c r="P72" s="395">
        <f t="shared" ca="1" si="7"/>
        <v>0</v>
      </c>
      <c r="Q72" s="395">
        <f t="shared" ca="1" si="8"/>
        <v>0</v>
      </c>
      <c r="R72" s="395">
        <f t="shared" ca="1" si="39"/>
        <v>0</v>
      </c>
      <c r="S72" s="395">
        <f t="shared" ca="1" si="40"/>
        <v>0</v>
      </c>
      <c r="T72" s="395">
        <f t="shared" ca="1" si="9"/>
        <v>0</v>
      </c>
      <c r="U72" s="395">
        <f t="shared" ca="1" si="10"/>
        <v>0</v>
      </c>
      <c r="V72" s="395">
        <f t="shared" ca="1" si="11"/>
        <v>0</v>
      </c>
      <c r="W72" s="395">
        <f t="shared" ca="1" si="12"/>
        <v>0</v>
      </c>
      <c r="X72" s="395">
        <f t="shared" ca="1" si="13"/>
        <v>0</v>
      </c>
      <c r="Y72" s="395">
        <f t="shared" ca="1" si="14"/>
        <v>0</v>
      </c>
      <c r="Z72" s="395">
        <f t="shared" ca="1" si="15"/>
        <v>0</v>
      </c>
      <c r="AA72" s="395">
        <f t="shared" ca="1" si="16"/>
        <v>0</v>
      </c>
      <c r="AB72" s="395">
        <f t="shared" ca="1" si="17"/>
        <v>0</v>
      </c>
      <c r="AC72" s="395">
        <f t="shared" ca="1" si="18"/>
        <v>0</v>
      </c>
      <c r="AD72" s="395">
        <f t="shared" ca="1" si="19"/>
        <v>0</v>
      </c>
      <c r="AE72" s="395">
        <f t="shared" ca="1" si="20"/>
        <v>0</v>
      </c>
      <c r="AF72" s="395">
        <f t="shared" ca="1" si="21"/>
        <v>0</v>
      </c>
      <c r="AG72" s="395">
        <f t="shared" ca="1" si="22"/>
        <v>0</v>
      </c>
      <c r="AH72" s="395">
        <f t="shared" ca="1" si="23"/>
        <v>0</v>
      </c>
      <c r="AI72" s="395">
        <f t="shared" ca="1" si="24"/>
        <v>0</v>
      </c>
      <c r="AJ72" s="395">
        <f t="shared" ca="1" si="25"/>
        <v>0</v>
      </c>
      <c r="AK72" s="395">
        <f t="shared" ca="1" si="26"/>
        <v>0</v>
      </c>
      <c r="AL72" s="395">
        <f t="shared" ca="1" si="27"/>
        <v>0</v>
      </c>
      <c r="AM72" s="395">
        <f t="shared" ca="1" si="28"/>
        <v>0</v>
      </c>
      <c r="AN72" s="395">
        <f t="shared" ca="1" si="29"/>
        <v>50000</v>
      </c>
      <c r="AO72" s="395">
        <f t="shared" ca="1" si="30"/>
        <v>0</v>
      </c>
      <c r="AP72" s="395">
        <f t="shared" ca="1" si="31"/>
        <v>0</v>
      </c>
      <c r="AQ72" s="395">
        <f t="shared" ca="1" si="32"/>
        <v>0</v>
      </c>
      <c r="AR72" s="395">
        <f t="shared" ca="1" si="33"/>
        <v>0</v>
      </c>
      <c r="AS72" s="395">
        <f t="shared" ca="1" si="34"/>
        <v>0</v>
      </c>
      <c r="AT72" s="395">
        <f t="shared" ca="1" si="35"/>
        <v>0</v>
      </c>
      <c r="AU72" s="395">
        <f t="shared" ca="1" si="36"/>
        <v>0</v>
      </c>
      <c r="AV72" s="395">
        <f t="shared" ca="1" si="37"/>
        <v>0</v>
      </c>
      <c r="AW72" s="395">
        <f t="shared" ca="1" si="38"/>
        <v>0</v>
      </c>
    </row>
    <row r="73" spans="1:49" s="392" customFormat="1" ht="12" customHeight="1">
      <c r="A73" s="63">
        <f t="array" aca="1" ref="A73" ca="1">IF(C73&lt;&gt;0,SUM(($C$11:C73&lt;&gt;0)*1),"")</f>
        <v>63</v>
      </c>
      <c r="B73" s="393">
        <f ca="1">IF(ROWS($1:63)&gt;COUNT(Dong8),"",OFFSET(TH!C$1,SMALL(Dong8,ROWS($1:63)),))</f>
        <v>41907</v>
      </c>
      <c r="C73" s="393" t="str">
        <f ca="1">IF(ROWS($1:63)&gt;COUNT(Dong8),"",OFFSET(TH!D$1,SMALL(Dong8,ROWS($1:63)),))</f>
        <v>GBN</v>
      </c>
      <c r="D73" s="393">
        <f ca="1">IF(ROWS($1:63)&gt;COUNT(Dong8),"",OFFSET(TH!E$1,SMALL(Dong8,ROWS($1:63)),))</f>
        <v>41907</v>
      </c>
      <c r="E73" s="443" t="str">
        <f ca="1">IF(ROWS($1:63)&gt;COUNT(Dong8),"",OFFSET(TH!F$1,SMALL(Dong8,ROWS($1:63)),))</f>
        <v>VAT Phí duy trì DV SMS</v>
      </c>
      <c r="F73" s="444">
        <f ca="1">IF(ROWS($1:63)&gt;COUNT(Dong8),"",OFFSET(TH!I$1,SMALL(Dong8,ROWS($1:63)),))</f>
        <v>5000</v>
      </c>
      <c r="G73" s="456" t="str">
        <f ca="1">IF(ROWS($1:63)&gt;COUNT(Dong8),"",OFFSET(TH!J$1,SMALL(Dong8,ROWS($1:63)),))</f>
        <v>1331</v>
      </c>
      <c r="H73" s="456" t="str">
        <f ca="1">IF(ROWS($1:63)&gt;COUNT(Dong8),"",OFFSET(TH!K$1,SMALL(Dong8,ROWS($1:63)),))</f>
        <v>1121</v>
      </c>
      <c r="I73" s="63">
        <f t="shared" ca="1" si="41"/>
        <v>63</v>
      </c>
      <c r="J73" s="395">
        <f t="shared" ca="1" si="1"/>
        <v>0</v>
      </c>
      <c r="K73" s="395">
        <f t="shared" ca="1" si="2"/>
        <v>0</v>
      </c>
      <c r="L73" s="395">
        <f t="shared" ca="1" si="3"/>
        <v>0</v>
      </c>
      <c r="M73" s="395">
        <f t="shared" ca="1" si="4"/>
        <v>5000</v>
      </c>
      <c r="N73" s="395">
        <f t="shared" ca="1" si="5"/>
        <v>5000</v>
      </c>
      <c r="O73" s="395">
        <f t="shared" ca="1" si="6"/>
        <v>0</v>
      </c>
      <c r="P73" s="395">
        <f t="shared" ca="1" si="7"/>
        <v>0</v>
      </c>
      <c r="Q73" s="395">
        <f t="shared" ca="1" si="8"/>
        <v>0</v>
      </c>
      <c r="R73" s="395">
        <f t="shared" ca="1" si="39"/>
        <v>0</v>
      </c>
      <c r="S73" s="395">
        <f t="shared" ca="1" si="40"/>
        <v>0</v>
      </c>
      <c r="T73" s="395">
        <f t="shared" ca="1" si="9"/>
        <v>0</v>
      </c>
      <c r="U73" s="395">
        <f t="shared" ca="1" si="10"/>
        <v>0</v>
      </c>
      <c r="V73" s="395">
        <f t="shared" ca="1" si="11"/>
        <v>0</v>
      </c>
      <c r="W73" s="395">
        <f t="shared" ca="1" si="12"/>
        <v>0</v>
      </c>
      <c r="X73" s="395">
        <f t="shared" ca="1" si="13"/>
        <v>0</v>
      </c>
      <c r="Y73" s="395">
        <f t="shared" ca="1" si="14"/>
        <v>0</v>
      </c>
      <c r="Z73" s="395">
        <f t="shared" ca="1" si="15"/>
        <v>0</v>
      </c>
      <c r="AA73" s="395">
        <f t="shared" ca="1" si="16"/>
        <v>0</v>
      </c>
      <c r="AB73" s="395">
        <f t="shared" ca="1" si="17"/>
        <v>0</v>
      </c>
      <c r="AC73" s="395">
        <f t="shared" ca="1" si="18"/>
        <v>0</v>
      </c>
      <c r="AD73" s="395">
        <f t="shared" ca="1" si="19"/>
        <v>0</v>
      </c>
      <c r="AE73" s="395">
        <f t="shared" ca="1" si="20"/>
        <v>0</v>
      </c>
      <c r="AF73" s="395">
        <f t="shared" ca="1" si="21"/>
        <v>0</v>
      </c>
      <c r="AG73" s="395">
        <f t="shared" ca="1" si="22"/>
        <v>0</v>
      </c>
      <c r="AH73" s="395">
        <f t="shared" ca="1" si="23"/>
        <v>0</v>
      </c>
      <c r="AI73" s="395">
        <f t="shared" ca="1" si="24"/>
        <v>0</v>
      </c>
      <c r="AJ73" s="395">
        <f t="shared" ca="1" si="25"/>
        <v>0</v>
      </c>
      <c r="AK73" s="395">
        <f t="shared" ca="1" si="26"/>
        <v>0</v>
      </c>
      <c r="AL73" s="395">
        <f t="shared" ca="1" si="27"/>
        <v>0</v>
      </c>
      <c r="AM73" s="395">
        <f t="shared" ca="1" si="28"/>
        <v>0</v>
      </c>
      <c r="AN73" s="395">
        <f t="shared" ca="1" si="29"/>
        <v>0</v>
      </c>
      <c r="AO73" s="395">
        <f t="shared" ca="1" si="30"/>
        <v>0</v>
      </c>
      <c r="AP73" s="395">
        <f t="shared" ca="1" si="31"/>
        <v>0</v>
      </c>
      <c r="AQ73" s="395">
        <f t="shared" ca="1" si="32"/>
        <v>0</v>
      </c>
      <c r="AR73" s="395">
        <f t="shared" ca="1" si="33"/>
        <v>0</v>
      </c>
      <c r="AS73" s="395">
        <f t="shared" ca="1" si="34"/>
        <v>0</v>
      </c>
      <c r="AT73" s="395">
        <f t="shared" ca="1" si="35"/>
        <v>0</v>
      </c>
      <c r="AU73" s="395">
        <f t="shared" ca="1" si="36"/>
        <v>0</v>
      </c>
      <c r="AV73" s="395">
        <f t="shared" ca="1" si="37"/>
        <v>0</v>
      </c>
      <c r="AW73" s="395">
        <f t="shared" ca="1" si="38"/>
        <v>0</v>
      </c>
    </row>
    <row r="74" spans="1:49" s="392" customFormat="1" ht="12" customHeight="1">
      <c r="A74" s="63">
        <f t="array" aca="1" ref="A74" ca="1">IF(C74&lt;&gt;0,SUM(($C$11:C74&lt;&gt;0)*1),"")</f>
        <v>64</v>
      </c>
      <c r="B74" s="393">
        <f ca="1">IF(ROWS($1:64)&gt;COUNT(Dong8),"",OFFSET(TH!C$1,SMALL(Dong8,ROWS($1:64)),))</f>
        <v>41907</v>
      </c>
      <c r="C74" s="393" t="str">
        <f ca="1">IF(ROWS($1:64)&gt;COUNT(Dong8),"",OFFSET(TH!D$1,SMALL(Dong8,ROWS($1:64)),))</f>
        <v>GBN</v>
      </c>
      <c r="D74" s="393">
        <f ca="1">IF(ROWS($1:64)&gt;COUNT(Dong8),"",OFFSET(TH!E$1,SMALL(Dong8,ROWS($1:64)),))</f>
        <v>41907</v>
      </c>
      <c r="E74" s="443" t="str">
        <f ca="1">IF(ROWS($1:64)&gt;COUNT(Dong8),"",OFFSET(TH!F$1,SMALL(Dong8,ROWS($1:64)),))</f>
        <v>Phí duy trì DV SMS - 0982911262</v>
      </c>
      <c r="F74" s="444">
        <f ca="1">IF(ROWS($1:64)&gt;COUNT(Dong8),"",OFFSET(TH!I$1,SMALL(Dong8,ROWS($1:64)),))</f>
        <v>50000</v>
      </c>
      <c r="G74" s="456" t="str">
        <f ca="1">IF(ROWS($1:64)&gt;COUNT(Dong8),"",OFFSET(TH!J$1,SMALL(Dong8,ROWS($1:64)),))</f>
        <v>642</v>
      </c>
      <c r="H74" s="456" t="str">
        <f ca="1">IF(ROWS($1:64)&gt;COUNT(Dong8),"",OFFSET(TH!K$1,SMALL(Dong8,ROWS($1:64)),))</f>
        <v>1121</v>
      </c>
      <c r="I74" s="63">
        <f t="shared" ca="1" si="41"/>
        <v>64</v>
      </c>
      <c r="J74" s="395">
        <f t="shared" ca="1" si="1"/>
        <v>0</v>
      </c>
      <c r="K74" s="395">
        <f t="shared" ca="1" si="2"/>
        <v>0</v>
      </c>
      <c r="L74" s="395">
        <f t="shared" ca="1" si="3"/>
        <v>0</v>
      </c>
      <c r="M74" s="395">
        <f t="shared" ca="1" si="4"/>
        <v>50000</v>
      </c>
      <c r="N74" s="395">
        <f t="shared" ca="1" si="5"/>
        <v>0</v>
      </c>
      <c r="O74" s="395">
        <f t="shared" ca="1" si="6"/>
        <v>0</v>
      </c>
      <c r="P74" s="395">
        <f t="shared" ca="1" si="7"/>
        <v>0</v>
      </c>
      <c r="Q74" s="395">
        <f t="shared" ca="1" si="8"/>
        <v>0</v>
      </c>
      <c r="R74" s="395">
        <f t="shared" ca="1" si="39"/>
        <v>0</v>
      </c>
      <c r="S74" s="395">
        <f t="shared" ca="1" si="40"/>
        <v>0</v>
      </c>
      <c r="T74" s="395">
        <f t="shared" ca="1" si="9"/>
        <v>0</v>
      </c>
      <c r="U74" s="395">
        <f t="shared" ca="1" si="10"/>
        <v>0</v>
      </c>
      <c r="V74" s="395">
        <f t="shared" ca="1" si="11"/>
        <v>0</v>
      </c>
      <c r="W74" s="395">
        <f t="shared" ca="1" si="12"/>
        <v>0</v>
      </c>
      <c r="X74" s="395">
        <f t="shared" ca="1" si="13"/>
        <v>0</v>
      </c>
      <c r="Y74" s="395">
        <f t="shared" ca="1" si="14"/>
        <v>0</v>
      </c>
      <c r="Z74" s="395">
        <f t="shared" ca="1" si="15"/>
        <v>0</v>
      </c>
      <c r="AA74" s="395">
        <f t="shared" ca="1" si="16"/>
        <v>0</v>
      </c>
      <c r="AB74" s="395">
        <f t="shared" ca="1" si="17"/>
        <v>0</v>
      </c>
      <c r="AC74" s="395">
        <f t="shared" ca="1" si="18"/>
        <v>0</v>
      </c>
      <c r="AD74" s="395">
        <f t="shared" ca="1" si="19"/>
        <v>0</v>
      </c>
      <c r="AE74" s="395">
        <f t="shared" ca="1" si="20"/>
        <v>0</v>
      </c>
      <c r="AF74" s="395">
        <f t="shared" ca="1" si="21"/>
        <v>0</v>
      </c>
      <c r="AG74" s="395">
        <f t="shared" ca="1" si="22"/>
        <v>0</v>
      </c>
      <c r="AH74" s="395">
        <f t="shared" ca="1" si="23"/>
        <v>0</v>
      </c>
      <c r="AI74" s="395">
        <f t="shared" ca="1" si="24"/>
        <v>0</v>
      </c>
      <c r="AJ74" s="395">
        <f t="shared" ca="1" si="25"/>
        <v>0</v>
      </c>
      <c r="AK74" s="395">
        <f t="shared" ca="1" si="26"/>
        <v>0</v>
      </c>
      <c r="AL74" s="395">
        <f t="shared" ca="1" si="27"/>
        <v>0</v>
      </c>
      <c r="AM74" s="395">
        <f t="shared" ca="1" si="28"/>
        <v>0</v>
      </c>
      <c r="AN74" s="395">
        <f t="shared" ca="1" si="29"/>
        <v>50000</v>
      </c>
      <c r="AO74" s="395">
        <f t="shared" ca="1" si="30"/>
        <v>0</v>
      </c>
      <c r="AP74" s="395">
        <f t="shared" ca="1" si="31"/>
        <v>0</v>
      </c>
      <c r="AQ74" s="395">
        <f t="shared" ca="1" si="32"/>
        <v>0</v>
      </c>
      <c r="AR74" s="395">
        <f t="shared" ca="1" si="33"/>
        <v>0</v>
      </c>
      <c r="AS74" s="395">
        <f t="shared" ca="1" si="34"/>
        <v>0</v>
      </c>
      <c r="AT74" s="395">
        <f t="shared" ca="1" si="35"/>
        <v>0</v>
      </c>
      <c r="AU74" s="395">
        <f t="shared" ca="1" si="36"/>
        <v>0</v>
      </c>
      <c r="AV74" s="395">
        <f t="shared" ca="1" si="37"/>
        <v>0</v>
      </c>
      <c r="AW74" s="395">
        <f t="shared" ca="1" si="38"/>
        <v>0</v>
      </c>
    </row>
    <row r="75" spans="1:49" s="392" customFormat="1" ht="12" customHeight="1">
      <c r="A75" s="63">
        <f t="array" aca="1" ref="A75" ca="1">IF(C75&lt;&gt;0,SUM(($C$11:C75&lt;&gt;0)*1),"")</f>
        <v>65</v>
      </c>
      <c r="B75" s="393">
        <f ca="1">IF(ROWS($1:65)&gt;COUNT(Dong8),"",OFFSET(TH!C$1,SMALL(Dong8,ROWS($1:65)),))</f>
        <v>41907</v>
      </c>
      <c r="C75" s="393" t="str">
        <f ca="1">IF(ROWS($1:65)&gt;COUNT(Dong8),"",OFFSET(TH!D$1,SMALL(Dong8,ROWS($1:65)),))</f>
        <v>GBN</v>
      </c>
      <c r="D75" s="393">
        <f ca="1">IF(ROWS($1:65)&gt;COUNT(Dong8),"",OFFSET(TH!E$1,SMALL(Dong8,ROWS($1:65)),))</f>
        <v>41907</v>
      </c>
      <c r="E75" s="443" t="str">
        <f ca="1">IF(ROWS($1:65)&gt;COUNT(Dong8),"",OFFSET(TH!F$1,SMALL(Dong8,ROWS($1:65)),))</f>
        <v>VAT Phí duy trì DV SMS</v>
      </c>
      <c r="F75" s="444">
        <f ca="1">IF(ROWS($1:65)&gt;COUNT(Dong8),"",OFFSET(TH!I$1,SMALL(Dong8,ROWS($1:65)),))</f>
        <v>5000</v>
      </c>
      <c r="G75" s="456" t="str">
        <f ca="1">IF(ROWS($1:65)&gt;COUNT(Dong8),"",OFFSET(TH!J$1,SMALL(Dong8,ROWS($1:65)),))</f>
        <v>1331</v>
      </c>
      <c r="H75" s="456" t="str">
        <f ca="1">IF(ROWS($1:65)&gt;COUNT(Dong8),"",OFFSET(TH!K$1,SMALL(Dong8,ROWS($1:65)),))</f>
        <v>1121</v>
      </c>
      <c r="I75" s="63">
        <f t="shared" ca="1" si="41"/>
        <v>65</v>
      </c>
      <c r="J75" s="395">
        <f t="shared" ref="J75" ca="1" si="42">IF($G75="1111",$F75,0)</f>
        <v>0</v>
      </c>
      <c r="K75" s="395">
        <f t="shared" ref="K75" ca="1" si="43">IF($H75="1111",$F75,0)</f>
        <v>0</v>
      </c>
      <c r="L75" s="395">
        <f t="shared" ref="L75" ca="1" si="44">IF($G75="1121",$F75,0)</f>
        <v>0</v>
      </c>
      <c r="M75" s="395">
        <f t="shared" ref="M75" ca="1" si="45">IF($H75="1121",$F75,0)</f>
        <v>5000</v>
      </c>
      <c r="N75" s="395">
        <f t="shared" ref="N75" ca="1" si="46">IF($G75="1331",$F75,0)</f>
        <v>5000</v>
      </c>
      <c r="O75" s="395">
        <f t="shared" ref="O75" ca="1" si="47">IF($H75="1331",$F75,0)</f>
        <v>0</v>
      </c>
      <c r="P75" s="395">
        <f t="shared" ref="P75" ca="1" si="48">IF($G75="1388",$F75,0)</f>
        <v>0</v>
      </c>
      <c r="Q75" s="395">
        <f t="shared" ref="Q75" ca="1" si="49">IF($H75="1388",$F75,0)</f>
        <v>0</v>
      </c>
      <c r="R75" s="395">
        <f t="shared" ca="1" si="39"/>
        <v>0</v>
      </c>
      <c r="S75" s="395">
        <f t="shared" ca="1" si="40"/>
        <v>0</v>
      </c>
      <c r="T75" s="395">
        <f t="shared" ref="T75" ca="1" si="50">IF($G75="331",$F75,0)</f>
        <v>0</v>
      </c>
      <c r="U75" s="395">
        <f t="shared" ref="U75" ca="1" si="51">IF($H75="331",$F75,0)</f>
        <v>0</v>
      </c>
      <c r="V75" s="395">
        <f t="shared" ref="V75" ca="1" si="52">IF($G75="3334",$F75,0)</f>
        <v>0</v>
      </c>
      <c r="W75" s="395">
        <f t="shared" ref="W75" ca="1" si="53">IF($H75="3334",$F75,0)</f>
        <v>0</v>
      </c>
      <c r="X75" s="395">
        <f t="shared" ref="X75" ca="1" si="54">IF($G75="33382",$F75,0)</f>
        <v>0</v>
      </c>
      <c r="Y75" s="395">
        <f t="shared" ref="Y75" ca="1" si="55">IF($H75="33382",$F75,0)</f>
        <v>0</v>
      </c>
      <c r="Z75" s="395">
        <f t="shared" ref="Z75" ca="1" si="56">IF($G75="3388",$F75,0)</f>
        <v>0</v>
      </c>
      <c r="AA75" s="395">
        <f t="shared" ref="AA75" ca="1" si="57">IF($H75="3388",$F75,0)</f>
        <v>0</v>
      </c>
      <c r="AB75" s="395">
        <f t="shared" ref="AB75" ca="1" si="58">IF($G75="3411",$F75,0)</f>
        <v>0</v>
      </c>
      <c r="AC75" s="395">
        <f t="shared" ref="AC75" ca="1" si="59">IF($H75="3411",$F75,0)</f>
        <v>0</v>
      </c>
      <c r="AD75" s="395">
        <f t="shared" ref="AD75" ca="1" si="60">IF($G75="4111",$F75,0)</f>
        <v>0</v>
      </c>
      <c r="AE75" s="395">
        <f t="shared" ref="AE75" ca="1" si="61">IF($H75="4111",$F75,0)</f>
        <v>0</v>
      </c>
      <c r="AF75" s="395">
        <f t="shared" ref="AF75" ca="1" si="62">IF($G75="4211",$F75,0)</f>
        <v>0</v>
      </c>
      <c r="AG75" s="395">
        <f t="shared" ref="AG75" ca="1" si="63">IF($H75="4211",$F75,0)</f>
        <v>0</v>
      </c>
      <c r="AH75" s="395">
        <f t="shared" ref="AH75" ca="1" si="64">IF($G75="4212",$F75,0)</f>
        <v>0</v>
      </c>
      <c r="AI75" s="395">
        <f t="shared" ref="AI75" ca="1" si="65">IF($H75="4212",$F75,0)</f>
        <v>0</v>
      </c>
      <c r="AJ75" s="395">
        <f t="shared" ref="AJ75" ca="1" si="66">IF($G75="515",$F75,0)</f>
        <v>0</v>
      </c>
      <c r="AK75" s="395">
        <f t="shared" ref="AK75" ca="1" si="67">IF($H75="515",$F75,0)</f>
        <v>0</v>
      </c>
      <c r="AL75" s="395">
        <f t="shared" ref="AL75" ca="1" si="68">IF($G75="635",$F75,0)</f>
        <v>0</v>
      </c>
      <c r="AM75" s="395">
        <f t="shared" ref="AM75" ca="1" si="69">IF($H75="635",$F75,0)</f>
        <v>0</v>
      </c>
      <c r="AN75" s="395">
        <f t="shared" ref="AN75" ca="1" si="70">IF($G75="642",$F75,0)</f>
        <v>0</v>
      </c>
      <c r="AO75" s="395">
        <f t="shared" ref="AO75" ca="1" si="71">IF($H75="642",$F75,0)</f>
        <v>0</v>
      </c>
      <c r="AP75" s="395">
        <f t="shared" ref="AP75" ca="1" si="72">IF($G75="711",$F75,0)</f>
        <v>0</v>
      </c>
      <c r="AQ75" s="395">
        <f t="shared" ref="AQ75" ca="1" si="73">IF($H75="711",$F75,0)</f>
        <v>0</v>
      </c>
      <c r="AR75" s="395">
        <f t="shared" ref="AR75" ca="1" si="74">IF($G75="811",$F75,0)</f>
        <v>0</v>
      </c>
      <c r="AS75" s="395">
        <f t="shared" ref="AS75" ca="1" si="75">IF($H75="811",$F75,0)</f>
        <v>0</v>
      </c>
      <c r="AT75" s="395">
        <f t="shared" ref="AT75" ca="1" si="76">IF($G75="821",$F75,0)</f>
        <v>0</v>
      </c>
      <c r="AU75" s="395">
        <f t="shared" ref="AU75" ca="1" si="77">IF($H75="821",$F75,0)</f>
        <v>0</v>
      </c>
      <c r="AV75" s="395">
        <f t="shared" ref="AV75" ca="1" si="78">IF($G75="911",$F75,0)</f>
        <v>0</v>
      </c>
      <c r="AW75" s="395">
        <f t="shared" ref="AW75" ca="1" si="79">IF($H75="911",$F75,0)</f>
        <v>0</v>
      </c>
    </row>
    <row r="76" spans="1:49" s="392" customFormat="1" ht="12" customHeight="1">
      <c r="A76" s="63">
        <f t="array" aca="1" ref="A76" ca="1">IF(C76&lt;&gt;0,SUM(($C$11:C76&lt;&gt;0)*1),"")</f>
        <v>66</v>
      </c>
      <c r="B76" s="396">
        <v>41912</v>
      </c>
      <c r="C76" s="396" t="s">
        <v>154</v>
      </c>
      <c r="D76" s="396">
        <f t="shared" ref="D76:D81" si="80">B76</f>
        <v>41912</v>
      </c>
      <c r="E76" s="397" t="s">
        <v>155</v>
      </c>
      <c r="F76" s="89">
        <f ca="1">AL83</f>
        <v>8625463</v>
      </c>
      <c r="G76" s="398" t="s">
        <v>214</v>
      </c>
      <c r="H76" s="398" t="s">
        <v>138</v>
      </c>
      <c r="I76" s="63">
        <f t="shared" ref="I76:I82" ca="1" si="81">A76</f>
        <v>66</v>
      </c>
      <c r="J76" s="395">
        <f t="shared" ref="J76:J82" si="82">IF($G76="1111",$F76,0)</f>
        <v>0</v>
      </c>
      <c r="K76" s="395">
        <f t="shared" ref="K76:K82" si="83">IF($H76="1111",$F76,0)</f>
        <v>0</v>
      </c>
      <c r="L76" s="395">
        <f t="shared" ref="L76:L82" si="84">IF($G76="1121",$F76,0)</f>
        <v>0</v>
      </c>
      <c r="M76" s="395">
        <f t="shared" ref="M76:M82" si="85">IF($H76="1121",$F76,0)</f>
        <v>0</v>
      </c>
      <c r="N76" s="395">
        <f t="shared" ref="N76:N82" si="86">IF($G76="1331",$F76,0)</f>
        <v>0</v>
      </c>
      <c r="O76" s="395">
        <f t="shared" ref="O76:O82" si="87">IF($H76="1331",$F76,0)</f>
        <v>0</v>
      </c>
      <c r="P76" s="395">
        <f t="shared" ref="P76:P82" si="88">IF($G76="1388",$F76,0)</f>
        <v>0</v>
      </c>
      <c r="Q76" s="395">
        <f t="shared" ref="Q76:Q82" si="89">IF($H76="1388",$F76,0)</f>
        <v>0</v>
      </c>
      <c r="R76" s="395">
        <f t="shared" ref="R76:R82" ca="1" si="90">IF($G76="2412",$F76,0)</f>
        <v>8625463</v>
      </c>
      <c r="S76" s="395">
        <f t="shared" ref="S76:S82" si="91">IF($H76="2412",$F76,0)</f>
        <v>0</v>
      </c>
      <c r="T76" s="395">
        <f t="shared" ref="T76:T82" si="92">IF($G76="331",$F76,0)</f>
        <v>0</v>
      </c>
      <c r="U76" s="395">
        <f t="shared" ref="U76:U82" si="93">IF($H76="331",$F76,0)</f>
        <v>0</v>
      </c>
      <c r="V76" s="395">
        <f t="shared" ref="V76:V82" si="94">IF($G76="3334",$F76,0)</f>
        <v>0</v>
      </c>
      <c r="W76" s="395">
        <f t="shared" ref="W76:W82" si="95">IF($H76="3334",$F76,0)</f>
        <v>0</v>
      </c>
      <c r="X76" s="395">
        <f t="shared" ref="X76:X82" si="96">IF($G76="33382",$F76,0)</f>
        <v>0</v>
      </c>
      <c r="Y76" s="395">
        <f t="shared" ref="Y76:Y82" si="97">IF($H76="33382",$F76,0)</f>
        <v>0</v>
      </c>
      <c r="Z76" s="395">
        <f t="shared" ref="Z76:Z82" si="98">IF($G76="3388",$F76,0)</f>
        <v>0</v>
      </c>
      <c r="AA76" s="395">
        <f t="shared" ref="AA76:AA82" si="99">IF($H76="3388",$F76,0)</f>
        <v>0</v>
      </c>
      <c r="AB76" s="395">
        <f t="shared" ref="AB76:AB82" si="100">IF($G76="3411",$F76,0)</f>
        <v>0</v>
      </c>
      <c r="AC76" s="395">
        <f t="shared" ref="AC76:AC82" si="101">IF($H76="3411",$F76,0)</f>
        <v>0</v>
      </c>
      <c r="AD76" s="395">
        <f t="shared" ref="AD76:AD82" si="102">IF($G76="4111",$F76,0)</f>
        <v>0</v>
      </c>
      <c r="AE76" s="395">
        <f t="shared" ref="AE76:AE82" si="103">IF($H76="4111",$F76,0)</f>
        <v>0</v>
      </c>
      <c r="AF76" s="395">
        <f t="shared" ref="AF76:AF82" si="104">IF($G76="4211",$F76,0)</f>
        <v>0</v>
      </c>
      <c r="AG76" s="395">
        <f t="shared" ref="AG76:AG82" si="105">IF($H76="4211",$F76,0)</f>
        <v>0</v>
      </c>
      <c r="AH76" s="395">
        <f t="shared" ref="AH76:AH82" si="106">IF($G76="4212",$F76,0)</f>
        <v>0</v>
      </c>
      <c r="AI76" s="395">
        <f t="shared" ref="AI76:AI82" si="107">IF($H76="4212",$F76,0)</f>
        <v>0</v>
      </c>
      <c r="AJ76" s="395">
        <f t="shared" ref="AJ76:AJ82" si="108">IF($G76="515",$F76,0)</f>
        <v>0</v>
      </c>
      <c r="AK76" s="395">
        <f t="shared" ref="AK76:AK82" si="109">IF($H76="515",$F76,0)</f>
        <v>0</v>
      </c>
      <c r="AL76" s="395">
        <f t="shared" ref="AL76:AL82" si="110">IF($G76="635",$F76,0)</f>
        <v>0</v>
      </c>
      <c r="AM76" s="395">
        <f t="shared" ref="AM76:AM82" ca="1" si="111">IF($H76="635",$F76,0)</f>
        <v>8625463</v>
      </c>
      <c r="AN76" s="395">
        <f t="shared" ref="AN76:AN82" si="112">IF($G76="642",$F76,0)</f>
        <v>0</v>
      </c>
      <c r="AO76" s="395">
        <f t="shared" ref="AO76:AO82" si="113">IF($H76="642",$F76,0)</f>
        <v>0</v>
      </c>
      <c r="AP76" s="395">
        <f t="shared" ref="AP76:AP82" si="114">IF($G76="711",$F76,0)</f>
        <v>0</v>
      </c>
      <c r="AQ76" s="395">
        <f t="shared" ref="AQ76:AQ82" si="115">IF($H76="711",$F76,0)</f>
        <v>0</v>
      </c>
      <c r="AR76" s="395">
        <f t="shared" ref="AR76:AR82" si="116">IF($G76="811",$F76,0)</f>
        <v>0</v>
      </c>
      <c r="AS76" s="395">
        <f t="shared" ref="AS76:AS82" si="117">IF($H76="811",$F76,0)</f>
        <v>0</v>
      </c>
      <c r="AT76" s="395">
        <f t="shared" ref="AT76:AT82" si="118">IF($G76="821",$F76,0)</f>
        <v>0</v>
      </c>
      <c r="AU76" s="395">
        <f t="shared" ref="AU76:AU82" si="119">IF($H76="821",$F76,0)</f>
        <v>0</v>
      </c>
      <c r="AV76" s="395">
        <f t="shared" ref="AV76:AV82" si="120">IF($G76="911",$F76,0)</f>
        <v>0</v>
      </c>
      <c r="AW76" s="395">
        <f t="shared" ref="AW76:AW82" si="121">IF($H76="911",$F76,0)</f>
        <v>0</v>
      </c>
    </row>
    <row r="77" spans="1:49" s="392" customFormat="1" ht="12" customHeight="1">
      <c r="A77" s="63">
        <f t="array" aca="1" ref="A77" ca="1">IF(C77&lt;&gt;0,SUM(($C$11:C77&lt;&gt;0)*1),"")</f>
        <v>67</v>
      </c>
      <c r="B77" s="396">
        <v>41912</v>
      </c>
      <c r="C77" s="396" t="s">
        <v>154</v>
      </c>
      <c r="D77" s="396">
        <f t="shared" si="80"/>
        <v>41912</v>
      </c>
      <c r="E77" s="397" t="s">
        <v>156</v>
      </c>
      <c r="F77" s="89">
        <f ca="1">AN83</f>
        <v>1414692</v>
      </c>
      <c r="G77" s="398" t="s">
        <v>148</v>
      </c>
      <c r="H77" s="398" t="s">
        <v>140</v>
      </c>
      <c r="I77" s="63">
        <f t="shared" ca="1" si="81"/>
        <v>67</v>
      </c>
      <c r="J77" s="395">
        <f t="shared" si="82"/>
        <v>0</v>
      </c>
      <c r="K77" s="395">
        <f t="shared" si="83"/>
        <v>0</v>
      </c>
      <c r="L77" s="395">
        <f t="shared" si="84"/>
        <v>0</v>
      </c>
      <c r="M77" s="395">
        <f t="shared" si="85"/>
        <v>0</v>
      </c>
      <c r="N77" s="395">
        <f t="shared" si="86"/>
        <v>0</v>
      </c>
      <c r="O77" s="395">
        <f t="shared" si="87"/>
        <v>0</v>
      </c>
      <c r="P77" s="395">
        <f t="shared" si="88"/>
        <v>0</v>
      </c>
      <c r="Q77" s="395">
        <f t="shared" si="89"/>
        <v>0</v>
      </c>
      <c r="R77" s="395">
        <f t="shared" si="90"/>
        <v>0</v>
      </c>
      <c r="S77" s="395">
        <f t="shared" si="91"/>
        <v>0</v>
      </c>
      <c r="T77" s="395">
        <f t="shared" si="92"/>
        <v>0</v>
      </c>
      <c r="U77" s="395">
        <f t="shared" si="93"/>
        <v>0</v>
      </c>
      <c r="V77" s="395">
        <f t="shared" si="94"/>
        <v>0</v>
      </c>
      <c r="W77" s="395">
        <f t="shared" si="95"/>
        <v>0</v>
      </c>
      <c r="X77" s="395">
        <f t="shared" si="96"/>
        <v>0</v>
      </c>
      <c r="Y77" s="395">
        <f t="shared" si="97"/>
        <v>0</v>
      </c>
      <c r="Z77" s="395">
        <f t="shared" si="98"/>
        <v>0</v>
      </c>
      <c r="AA77" s="395">
        <f t="shared" si="99"/>
        <v>0</v>
      </c>
      <c r="AB77" s="395">
        <f t="shared" si="100"/>
        <v>0</v>
      </c>
      <c r="AC77" s="395">
        <f t="shared" si="101"/>
        <v>0</v>
      </c>
      <c r="AD77" s="395">
        <f t="shared" si="102"/>
        <v>0</v>
      </c>
      <c r="AE77" s="395">
        <f t="shared" si="103"/>
        <v>0</v>
      </c>
      <c r="AF77" s="395">
        <f t="shared" si="104"/>
        <v>0</v>
      </c>
      <c r="AG77" s="395">
        <f t="shared" si="105"/>
        <v>0</v>
      </c>
      <c r="AH77" s="395">
        <f t="shared" si="106"/>
        <v>0</v>
      </c>
      <c r="AI77" s="395">
        <f t="shared" si="107"/>
        <v>0</v>
      </c>
      <c r="AJ77" s="395">
        <f t="shared" si="108"/>
        <v>0</v>
      </c>
      <c r="AK77" s="395">
        <f t="shared" si="109"/>
        <v>0</v>
      </c>
      <c r="AL77" s="395">
        <f t="shared" si="110"/>
        <v>0</v>
      </c>
      <c r="AM77" s="395">
        <f t="shared" si="111"/>
        <v>0</v>
      </c>
      <c r="AN77" s="395">
        <f t="shared" si="112"/>
        <v>0</v>
      </c>
      <c r="AO77" s="395">
        <f t="shared" ca="1" si="113"/>
        <v>1414692</v>
      </c>
      <c r="AP77" s="395">
        <f t="shared" si="114"/>
        <v>0</v>
      </c>
      <c r="AQ77" s="395">
        <f t="shared" si="115"/>
        <v>0</v>
      </c>
      <c r="AR77" s="395">
        <f t="shared" si="116"/>
        <v>0</v>
      </c>
      <c r="AS77" s="395">
        <f t="shared" si="117"/>
        <v>0</v>
      </c>
      <c r="AT77" s="395">
        <f t="shared" si="118"/>
        <v>0</v>
      </c>
      <c r="AU77" s="395">
        <f t="shared" si="119"/>
        <v>0</v>
      </c>
      <c r="AV77" s="395">
        <f t="shared" ca="1" si="120"/>
        <v>1414692</v>
      </c>
      <c r="AW77" s="395">
        <f t="shared" si="121"/>
        <v>0</v>
      </c>
    </row>
    <row r="78" spans="1:49" s="392" customFormat="1" ht="12" customHeight="1">
      <c r="A78" s="63">
        <f t="array" aca="1" ref="A78" ca="1">IF(C78&lt;&gt;0,SUM(($C$11:C78&lt;&gt;0)*1),"")</f>
        <v>68</v>
      </c>
      <c r="B78" s="396">
        <v>41912</v>
      </c>
      <c r="C78" s="396" t="s">
        <v>154</v>
      </c>
      <c r="D78" s="396">
        <f t="shared" si="80"/>
        <v>41912</v>
      </c>
      <c r="E78" s="397" t="s">
        <v>291</v>
      </c>
      <c r="F78" s="89">
        <v>1176042</v>
      </c>
      <c r="G78" s="398" t="s">
        <v>133</v>
      </c>
      <c r="H78" s="398" t="s">
        <v>148</v>
      </c>
      <c r="I78" s="63">
        <f t="shared" ca="1" si="81"/>
        <v>68</v>
      </c>
      <c r="J78" s="395">
        <f t="shared" si="82"/>
        <v>0</v>
      </c>
      <c r="K78" s="395">
        <f t="shared" si="83"/>
        <v>0</v>
      </c>
      <c r="L78" s="395">
        <f t="shared" si="84"/>
        <v>0</v>
      </c>
      <c r="M78" s="395">
        <f t="shared" si="85"/>
        <v>0</v>
      </c>
      <c r="N78" s="395">
        <f t="shared" si="86"/>
        <v>0</v>
      </c>
      <c r="O78" s="395">
        <f t="shared" si="87"/>
        <v>0</v>
      </c>
      <c r="P78" s="395">
        <f t="shared" si="88"/>
        <v>0</v>
      </c>
      <c r="Q78" s="395">
        <f t="shared" si="89"/>
        <v>0</v>
      </c>
      <c r="R78" s="395">
        <f t="shared" si="90"/>
        <v>0</v>
      </c>
      <c r="S78" s="395">
        <f t="shared" si="91"/>
        <v>0</v>
      </c>
      <c r="T78" s="395">
        <f t="shared" si="92"/>
        <v>0</v>
      </c>
      <c r="U78" s="395">
        <f t="shared" si="93"/>
        <v>0</v>
      </c>
      <c r="V78" s="395">
        <f t="shared" si="94"/>
        <v>0</v>
      </c>
      <c r="W78" s="395">
        <f t="shared" si="95"/>
        <v>0</v>
      </c>
      <c r="X78" s="395">
        <f t="shared" si="96"/>
        <v>0</v>
      </c>
      <c r="Y78" s="395">
        <f t="shared" si="97"/>
        <v>0</v>
      </c>
      <c r="Z78" s="395">
        <f t="shared" si="98"/>
        <v>0</v>
      </c>
      <c r="AA78" s="395">
        <f t="shared" si="99"/>
        <v>0</v>
      </c>
      <c r="AB78" s="395">
        <f t="shared" si="100"/>
        <v>0</v>
      </c>
      <c r="AC78" s="395">
        <f t="shared" si="101"/>
        <v>0</v>
      </c>
      <c r="AD78" s="395">
        <f t="shared" si="102"/>
        <v>0</v>
      </c>
      <c r="AE78" s="395">
        <f t="shared" si="103"/>
        <v>0</v>
      </c>
      <c r="AF78" s="395">
        <f t="shared" si="104"/>
        <v>0</v>
      </c>
      <c r="AG78" s="395">
        <f t="shared" si="105"/>
        <v>0</v>
      </c>
      <c r="AH78" s="395">
        <f t="shared" si="106"/>
        <v>1176042</v>
      </c>
      <c r="AI78" s="395">
        <f t="shared" si="107"/>
        <v>0</v>
      </c>
      <c r="AJ78" s="395">
        <f t="shared" si="108"/>
        <v>0</v>
      </c>
      <c r="AK78" s="395">
        <f t="shared" si="109"/>
        <v>0</v>
      </c>
      <c r="AL78" s="395">
        <f t="shared" si="110"/>
        <v>0</v>
      </c>
      <c r="AM78" s="395">
        <f t="shared" si="111"/>
        <v>0</v>
      </c>
      <c r="AN78" s="395">
        <f t="shared" si="112"/>
        <v>0</v>
      </c>
      <c r="AO78" s="395">
        <f t="shared" si="113"/>
        <v>0</v>
      </c>
      <c r="AP78" s="395">
        <f t="shared" si="114"/>
        <v>0</v>
      </c>
      <c r="AQ78" s="395">
        <f t="shared" si="115"/>
        <v>0</v>
      </c>
      <c r="AR78" s="395">
        <f t="shared" si="116"/>
        <v>0</v>
      </c>
      <c r="AS78" s="395">
        <f t="shared" si="117"/>
        <v>0</v>
      </c>
      <c r="AT78" s="395">
        <f t="shared" si="118"/>
        <v>0</v>
      </c>
      <c r="AU78" s="395">
        <f t="shared" si="119"/>
        <v>0</v>
      </c>
      <c r="AV78" s="395">
        <f t="shared" si="120"/>
        <v>0</v>
      </c>
      <c r="AW78" s="395">
        <f t="shared" si="121"/>
        <v>1176042</v>
      </c>
    </row>
    <row r="79" spans="1:49" s="392" customFormat="1" ht="12" customHeight="1">
      <c r="A79" s="63">
        <f t="array" aca="1" ref="A79" ca="1">IF(C79&lt;&gt;0,SUM(($C$11:C79&lt;&gt;0)*1),"")</f>
        <v>69</v>
      </c>
      <c r="B79" s="396">
        <v>41912</v>
      </c>
      <c r="C79" s="396" t="s">
        <v>154</v>
      </c>
      <c r="D79" s="396">
        <f t="shared" si="80"/>
        <v>41912</v>
      </c>
      <c r="E79" s="397" t="s">
        <v>158</v>
      </c>
      <c r="F79" s="89">
        <f ca="1">AK83</f>
        <v>238650</v>
      </c>
      <c r="G79" s="398" t="s">
        <v>67</v>
      </c>
      <c r="H79" s="398" t="s">
        <v>148</v>
      </c>
      <c r="I79" s="63">
        <f t="shared" ca="1" si="81"/>
        <v>69</v>
      </c>
      <c r="J79" s="395">
        <f t="shared" si="82"/>
        <v>0</v>
      </c>
      <c r="K79" s="395">
        <f t="shared" si="83"/>
        <v>0</v>
      </c>
      <c r="L79" s="395">
        <f t="shared" si="84"/>
        <v>0</v>
      </c>
      <c r="M79" s="395">
        <f t="shared" si="85"/>
        <v>0</v>
      </c>
      <c r="N79" s="395">
        <f t="shared" si="86"/>
        <v>0</v>
      </c>
      <c r="O79" s="395">
        <f t="shared" si="87"/>
        <v>0</v>
      </c>
      <c r="P79" s="395">
        <f t="shared" si="88"/>
        <v>0</v>
      </c>
      <c r="Q79" s="395">
        <f t="shared" si="89"/>
        <v>0</v>
      </c>
      <c r="R79" s="395">
        <f t="shared" si="90"/>
        <v>0</v>
      </c>
      <c r="S79" s="395">
        <f t="shared" si="91"/>
        <v>0</v>
      </c>
      <c r="T79" s="395">
        <f t="shared" si="92"/>
        <v>0</v>
      </c>
      <c r="U79" s="395">
        <f t="shared" si="93"/>
        <v>0</v>
      </c>
      <c r="V79" s="395">
        <f t="shared" si="94"/>
        <v>0</v>
      </c>
      <c r="W79" s="395">
        <f t="shared" si="95"/>
        <v>0</v>
      </c>
      <c r="X79" s="395">
        <f t="shared" si="96"/>
        <v>0</v>
      </c>
      <c r="Y79" s="395">
        <f t="shared" si="97"/>
        <v>0</v>
      </c>
      <c r="Z79" s="395">
        <f t="shared" si="98"/>
        <v>0</v>
      </c>
      <c r="AA79" s="395">
        <f t="shared" si="99"/>
        <v>0</v>
      </c>
      <c r="AB79" s="395">
        <f t="shared" si="100"/>
        <v>0</v>
      </c>
      <c r="AC79" s="395">
        <f t="shared" si="101"/>
        <v>0</v>
      </c>
      <c r="AD79" s="395">
        <f t="shared" si="102"/>
        <v>0</v>
      </c>
      <c r="AE79" s="395">
        <f t="shared" si="103"/>
        <v>0</v>
      </c>
      <c r="AF79" s="395">
        <f t="shared" si="104"/>
        <v>0</v>
      </c>
      <c r="AG79" s="395">
        <f t="shared" si="105"/>
        <v>0</v>
      </c>
      <c r="AH79" s="395">
        <f t="shared" si="106"/>
        <v>0</v>
      </c>
      <c r="AI79" s="395">
        <f t="shared" si="107"/>
        <v>0</v>
      </c>
      <c r="AJ79" s="395">
        <f t="shared" ca="1" si="108"/>
        <v>238650</v>
      </c>
      <c r="AK79" s="395">
        <f t="shared" si="109"/>
        <v>0</v>
      </c>
      <c r="AL79" s="395">
        <f t="shared" si="110"/>
        <v>0</v>
      </c>
      <c r="AM79" s="395">
        <f t="shared" si="111"/>
        <v>0</v>
      </c>
      <c r="AN79" s="395">
        <f t="shared" si="112"/>
        <v>0</v>
      </c>
      <c r="AO79" s="395">
        <f t="shared" si="113"/>
        <v>0</v>
      </c>
      <c r="AP79" s="395">
        <f t="shared" si="114"/>
        <v>0</v>
      </c>
      <c r="AQ79" s="395">
        <f t="shared" si="115"/>
        <v>0</v>
      </c>
      <c r="AR79" s="395">
        <f t="shared" si="116"/>
        <v>0</v>
      </c>
      <c r="AS79" s="395">
        <f t="shared" si="117"/>
        <v>0</v>
      </c>
      <c r="AT79" s="395">
        <f t="shared" si="118"/>
        <v>0</v>
      </c>
      <c r="AU79" s="395">
        <f t="shared" si="119"/>
        <v>0</v>
      </c>
      <c r="AV79" s="395">
        <f t="shared" si="120"/>
        <v>0</v>
      </c>
      <c r="AW79" s="395">
        <f t="shared" ca="1" si="121"/>
        <v>238650</v>
      </c>
    </row>
    <row r="80" spans="1:49" s="392" customFormat="1" ht="12" customHeight="1">
      <c r="A80" s="63">
        <f t="array" aca="1" ref="A80" ca="1">IF(C80&lt;&gt;0,SUM(($C$11:C80&lt;&gt;0)*1),"")</f>
        <v>70</v>
      </c>
      <c r="B80" s="396">
        <v>41912</v>
      </c>
      <c r="C80" s="396" t="s">
        <v>154</v>
      </c>
      <c r="D80" s="396">
        <f t="shared" si="80"/>
        <v>41912</v>
      </c>
      <c r="E80" s="397" t="s">
        <v>159</v>
      </c>
      <c r="F80" s="89">
        <f ca="1">AQ83</f>
        <v>0</v>
      </c>
      <c r="G80" s="398" t="s">
        <v>142</v>
      </c>
      <c r="H80" s="398" t="s">
        <v>148</v>
      </c>
      <c r="I80" s="63">
        <f t="shared" ca="1" si="81"/>
        <v>70</v>
      </c>
      <c r="J80" s="395">
        <f t="shared" si="82"/>
        <v>0</v>
      </c>
      <c r="K80" s="395">
        <f t="shared" si="83"/>
        <v>0</v>
      </c>
      <c r="L80" s="395">
        <f t="shared" si="84"/>
        <v>0</v>
      </c>
      <c r="M80" s="395">
        <f t="shared" si="85"/>
        <v>0</v>
      </c>
      <c r="N80" s="395">
        <f t="shared" si="86"/>
        <v>0</v>
      </c>
      <c r="O80" s="395">
        <f t="shared" si="87"/>
        <v>0</v>
      </c>
      <c r="P80" s="395">
        <f t="shared" si="88"/>
        <v>0</v>
      </c>
      <c r="Q80" s="395">
        <f t="shared" si="89"/>
        <v>0</v>
      </c>
      <c r="R80" s="395">
        <f t="shared" si="90"/>
        <v>0</v>
      </c>
      <c r="S80" s="395">
        <f t="shared" si="91"/>
        <v>0</v>
      </c>
      <c r="T80" s="395">
        <f t="shared" si="92"/>
        <v>0</v>
      </c>
      <c r="U80" s="395">
        <f t="shared" si="93"/>
        <v>0</v>
      </c>
      <c r="V80" s="395">
        <f t="shared" si="94"/>
        <v>0</v>
      </c>
      <c r="W80" s="395">
        <f t="shared" si="95"/>
        <v>0</v>
      </c>
      <c r="X80" s="395">
        <f t="shared" si="96"/>
        <v>0</v>
      </c>
      <c r="Y80" s="395">
        <f t="shared" si="97"/>
        <v>0</v>
      </c>
      <c r="Z80" s="395">
        <f t="shared" si="98"/>
        <v>0</v>
      </c>
      <c r="AA80" s="395">
        <f t="shared" si="99"/>
        <v>0</v>
      </c>
      <c r="AB80" s="395">
        <f t="shared" si="100"/>
        <v>0</v>
      </c>
      <c r="AC80" s="395">
        <f t="shared" si="101"/>
        <v>0</v>
      </c>
      <c r="AD80" s="395">
        <f t="shared" si="102"/>
        <v>0</v>
      </c>
      <c r="AE80" s="395">
        <f t="shared" si="103"/>
        <v>0</v>
      </c>
      <c r="AF80" s="395">
        <f t="shared" si="104"/>
        <v>0</v>
      </c>
      <c r="AG80" s="395">
        <f t="shared" si="105"/>
        <v>0</v>
      </c>
      <c r="AH80" s="395">
        <f t="shared" si="106"/>
        <v>0</v>
      </c>
      <c r="AI80" s="395">
        <f t="shared" si="107"/>
        <v>0</v>
      </c>
      <c r="AJ80" s="395">
        <f t="shared" si="108"/>
        <v>0</v>
      </c>
      <c r="AK80" s="395">
        <f t="shared" si="109"/>
        <v>0</v>
      </c>
      <c r="AL80" s="395">
        <f t="shared" si="110"/>
        <v>0</v>
      </c>
      <c r="AM80" s="395">
        <f t="shared" si="111"/>
        <v>0</v>
      </c>
      <c r="AN80" s="395">
        <f t="shared" si="112"/>
        <v>0</v>
      </c>
      <c r="AO80" s="395">
        <f t="shared" si="113"/>
        <v>0</v>
      </c>
      <c r="AP80" s="395">
        <f t="shared" ca="1" si="114"/>
        <v>0</v>
      </c>
      <c r="AQ80" s="395">
        <f t="shared" si="115"/>
        <v>0</v>
      </c>
      <c r="AR80" s="395">
        <f t="shared" si="116"/>
        <v>0</v>
      </c>
      <c r="AS80" s="395">
        <f t="shared" si="117"/>
        <v>0</v>
      </c>
      <c r="AT80" s="395">
        <f t="shared" si="118"/>
        <v>0</v>
      </c>
      <c r="AU80" s="395">
        <f t="shared" si="119"/>
        <v>0</v>
      </c>
      <c r="AV80" s="395">
        <f t="shared" si="120"/>
        <v>0</v>
      </c>
      <c r="AW80" s="395">
        <f t="shared" ca="1" si="121"/>
        <v>0</v>
      </c>
    </row>
    <row r="81" spans="1:49" s="392" customFormat="1" ht="12" customHeight="1">
      <c r="A81" s="63">
        <f t="array" aca="1" ref="A81" ca="1">IF(C81&lt;&gt;0,SUM(($C$11:C81&lt;&gt;0)*1),"")</f>
        <v>71</v>
      </c>
      <c r="B81" s="396">
        <v>41912</v>
      </c>
      <c r="C81" s="396" t="s">
        <v>154</v>
      </c>
      <c r="D81" s="396">
        <f t="shared" si="80"/>
        <v>41912</v>
      </c>
      <c r="E81" s="397" t="s">
        <v>160</v>
      </c>
      <c r="F81" s="89">
        <f ca="1">AR83</f>
        <v>0</v>
      </c>
      <c r="G81" s="398" t="s">
        <v>148</v>
      </c>
      <c r="H81" s="398" t="s">
        <v>144</v>
      </c>
      <c r="I81" s="63">
        <f t="shared" ca="1" si="81"/>
        <v>71</v>
      </c>
      <c r="J81" s="395">
        <f t="shared" si="82"/>
        <v>0</v>
      </c>
      <c r="K81" s="395">
        <f t="shared" si="83"/>
        <v>0</v>
      </c>
      <c r="L81" s="395">
        <f t="shared" si="84"/>
        <v>0</v>
      </c>
      <c r="M81" s="395">
        <f t="shared" si="85"/>
        <v>0</v>
      </c>
      <c r="N81" s="395">
        <f t="shared" si="86"/>
        <v>0</v>
      </c>
      <c r="O81" s="395">
        <f t="shared" si="87"/>
        <v>0</v>
      </c>
      <c r="P81" s="395">
        <f t="shared" si="88"/>
        <v>0</v>
      </c>
      <c r="Q81" s="395">
        <f t="shared" si="89"/>
        <v>0</v>
      </c>
      <c r="R81" s="395">
        <f t="shared" si="90"/>
        <v>0</v>
      </c>
      <c r="S81" s="395">
        <f t="shared" si="91"/>
        <v>0</v>
      </c>
      <c r="T81" s="395">
        <f t="shared" si="92"/>
        <v>0</v>
      </c>
      <c r="U81" s="395">
        <f t="shared" si="93"/>
        <v>0</v>
      </c>
      <c r="V81" s="395">
        <f t="shared" si="94"/>
        <v>0</v>
      </c>
      <c r="W81" s="395">
        <f t="shared" si="95"/>
        <v>0</v>
      </c>
      <c r="X81" s="395">
        <f t="shared" si="96"/>
        <v>0</v>
      </c>
      <c r="Y81" s="395">
        <f t="shared" si="97"/>
        <v>0</v>
      </c>
      <c r="Z81" s="395">
        <f t="shared" si="98"/>
        <v>0</v>
      </c>
      <c r="AA81" s="395">
        <f t="shared" si="99"/>
        <v>0</v>
      </c>
      <c r="AB81" s="395">
        <f t="shared" si="100"/>
        <v>0</v>
      </c>
      <c r="AC81" s="395">
        <f t="shared" si="101"/>
        <v>0</v>
      </c>
      <c r="AD81" s="395">
        <f t="shared" si="102"/>
        <v>0</v>
      </c>
      <c r="AE81" s="395">
        <f t="shared" si="103"/>
        <v>0</v>
      </c>
      <c r="AF81" s="395">
        <f t="shared" si="104"/>
        <v>0</v>
      </c>
      <c r="AG81" s="395">
        <f t="shared" si="105"/>
        <v>0</v>
      </c>
      <c r="AH81" s="395">
        <f t="shared" si="106"/>
        <v>0</v>
      </c>
      <c r="AI81" s="395">
        <f t="shared" si="107"/>
        <v>0</v>
      </c>
      <c r="AJ81" s="395">
        <f t="shared" si="108"/>
        <v>0</v>
      </c>
      <c r="AK81" s="395">
        <f t="shared" si="109"/>
        <v>0</v>
      </c>
      <c r="AL81" s="395">
        <f t="shared" si="110"/>
        <v>0</v>
      </c>
      <c r="AM81" s="395">
        <f t="shared" si="111"/>
        <v>0</v>
      </c>
      <c r="AN81" s="395">
        <f t="shared" si="112"/>
        <v>0</v>
      </c>
      <c r="AO81" s="395">
        <f t="shared" si="113"/>
        <v>0</v>
      </c>
      <c r="AP81" s="395">
        <f t="shared" si="114"/>
        <v>0</v>
      </c>
      <c r="AQ81" s="395">
        <f t="shared" si="115"/>
        <v>0</v>
      </c>
      <c r="AR81" s="395">
        <f t="shared" si="116"/>
        <v>0</v>
      </c>
      <c r="AS81" s="395">
        <f t="shared" ca="1" si="117"/>
        <v>0</v>
      </c>
      <c r="AT81" s="395">
        <f t="shared" si="118"/>
        <v>0</v>
      </c>
      <c r="AU81" s="395">
        <f t="shared" si="119"/>
        <v>0</v>
      </c>
      <c r="AV81" s="395">
        <f t="shared" ca="1" si="120"/>
        <v>0</v>
      </c>
      <c r="AW81" s="395">
        <f t="shared" si="121"/>
        <v>0</v>
      </c>
    </row>
    <row r="82" spans="1:49" s="392" customFormat="1" ht="12" customHeight="1">
      <c r="A82" s="63" t="str">
        <f t="array" ref="A82">IF(C82&lt;&gt;0,SUM(($C$11:C82&lt;&gt;0)*1),"")</f>
        <v/>
      </c>
      <c r="B82" s="291"/>
      <c r="C82" s="399"/>
      <c r="D82" s="291"/>
      <c r="E82" s="394"/>
      <c r="F82" s="65"/>
      <c r="G82" s="400"/>
      <c r="H82" s="400"/>
      <c r="I82" s="63" t="str">
        <f t="shared" si="81"/>
        <v/>
      </c>
      <c r="J82" s="395">
        <f t="shared" si="82"/>
        <v>0</v>
      </c>
      <c r="K82" s="395">
        <f t="shared" si="83"/>
        <v>0</v>
      </c>
      <c r="L82" s="395">
        <f t="shared" si="84"/>
        <v>0</v>
      </c>
      <c r="M82" s="395">
        <f t="shared" si="85"/>
        <v>0</v>
      </c>
      <c r="N82" s="395">
        <f t="shared" si="86"/>
        <v>0</v>
      </c>
      <c r="O82" s="395">
        <f t="shared" si="87"/>
        <v>0</v>
      </c>
      <c r="P82" s="395">
        <f t="shared" si="88"/>
        <v>0</v>
      </c>
      <c r="Q82" s="395">
        <f t="shared" si="89"/>
        <v>0</v>
      </c>
      <c r="R82" s="395">
        <f t="shared" si="90"/>
        <v>0</v>
      </c>
      <c r="S82" s="395">
        <f t="shared" si="91"/>
        <v>0</v>
      </c>
      <c r="T82" s="395">
        <f t="shared" si="92"/>
        <v>0</v>
      </c>
      <c r="U82" s="395">
        <f t="shared" si="93"/>
        <v>0</v>
      </c>
      <c r="V82" s="395">
        <f t="shared" si="94"/>
        <v>0</v>
      </c>
      <c r="W82" s="395">
        <f t="shared" si="95"/>
        <v>0</v>
      </c>
      <c r="X82" s="395">
        <f t="shared" si="96"/>
        <v>0</v>
      </c>
      <c r="Y82" s="395">
        <f t="shared" si="97"/>
        <v>0</v>
      </c>
      <c r="Z82" s="395">
        <f t="shared" si="98"/>
        <v>0</v>
      </c>
      <c r="AA82" s="395">
        <f t="shared" si="99"/>
        <v>0</v>
      </c>
      <c r="AB82" s="395">
        <f t="shared" si="100"/>
        <v>0</v>
      </c>
      <c r="AC82" s="395">
        <f t="shared" si="101"/>
        <v>0</v>
      </c>
      <c r="AD82" s="395">
        <f t="shared" si="102"/>
        <v>0</v>
      </c>
      <c r="AE82" s="395">
        <f t="shared" si="103"/>
        <v>0</v>
      </c>
      <c r="AF82" s="395">
        <f t="shared" si="104"/>
        <v>0</v>
      </c>
      <c r="AG82" s="395">
        <f t="shared" si="105"/>
        <v>0</v>
      </c>
      <c r="AH82" s="395">
        <f t="shared" si="106"/>
        <v>0</v>
      </c>
      <c r="AI82" s="395">
        <f t="shared" si="107"/>
        <v>0</v>
      </c>
      <c r="AJ82" s="395">
        <f t="shared" si="108"/>
        <v>0</v>
      </c>
      <c r="AK82" s="395">
        <f t="shared" si="109"/>
        <v>0</v>
      </c>
      <c r="AL82" s="395">
        <f t="shared" si="110"/>
        <v>0</v>
      </c>
      <c r="AM82" s="395">
        <f t="shared" si="111"/>
        <v>0</v>
      </c>
      <c r="AN82" s="395">
        <f t="shared" si="112"/>
        <v>0</v>
      </c>
      <c r="AO82" s="395">
        <f t="shared" si="113"/>
        <v>0</v>
      </c>
      <c r="AP82" s="395">
        <f t="shared" si="114"/>
        <v>0</v>
      </c>
      <c r="AQ82" s="395">
        <f t="shared" si="115"/>
        <v>0</v>
      </c>
      <c r="AR82" s="395">
        <f t="shared" si="116"/>
        <v>0</v>
      </c>
      <c r="AS82" s="395">
        <f t="shared" si="117"/>
        <v>0</v>
      </c>
      <c r="AT82" s="395">
        <f t="shared" si="118"/>
        <v>0</v>
      </c>
      <c r="AU82" s="395">
        <f t="shared" si="119"/>
        <v>0</v>
      </c>
      <c r="AV82" s="395">
        <f t="shared" si="120"/>
        <v>0</v>
      </c>
      <c r="AW82" s="395">
        <f t="shared" si="121"/>
        <v>0</v>
      </c>
    </row>
    <row r="83" spans="1:49" s="392" customFormat="1" ht="12" customHeight="1">
      <c r="A83" s="401"/>
      <c r="B83" s="401"/>
      <c r="C83" s="428"/>
      <c r="D83" s="401"/>
      <c r="E83" s="394" t="s">
        <v>241</v>
      </c>
      <c r="F83" s="401"/>
      <c r="G83" s="400"/>
      <c r="H83" s="400"/>
      <c r="I83" s="401"/>
      <c r="J83" s="401">
        <f t="shared" ref="J83:AW83" ca="1" si="122">SUM(J11:J82)</f>
        <v>0</v>
      </c>
      <c r="K83" s="401">
        <f t="shared" ca="1" si="122"/>
        <v>382000000</v>
      </c>
      <c r="L83" s="401">
        <f t="shared" ca="1" si="122"/>
        <v>3382238650</v>
      </c>
      <c r="M83" s="401">
        <f t="shared" ca="1" si="122"/>
        <v>2922871463</v>
      </c>
      <c r="N83" s="401">
        <f t="shared" ca="1" si="122"/>
        <v>151717595</v>
      </c>
      <c r="O83" s="401">
        <f t="shared" ca="1" si="122"/>
        <v>0</v>
      </c>
      <c r="P83" s="401">
        <f t="shared" ca="1" si="122"/>
        <v>0</v>
      </c>
      <c r="Q83" s="401">
        <f t="shared" ca="1" si="122"/>
        <v>0</v>
      </c>
      <c r="R83" s="401">
        <f t="shared" ca="1" si="122"/>
        <v>1524386736</v>
      </c>
      <c r="S83" s="401">
        <f t="shared" ca="1" si="122"/>
        <v>0</v>
      </c>
      <c r="T83" s="401">
        <f t="shared" ca="1" si="122"/>
        <v>2912689840</v>
      </c>
      <c r="U83" s="401">
        <f t="shared" ca="1" si="122"/>
        <v>1667337400</v>
      </c>
      <c r="V83" s="401">
        <f t="shared" ca="1" si="122"/>
        <v>0</v>
      </c>
      <c r="W83" s="401">
        <f t="shared" ca="1" si="122"/>
        <v>0</v>
      </c>
      <c r="X83" s="401">
        <f t="shared" ca="1" si="122"/>
        <v>0</v>
      </c>
      <c r="Y83" s="401">
        <f t="shared" ca="1" si="122"/>
        <v>0</v>
      </c>
      <c r="Z83" s="401">
        <f t="shared" ca="1" si="122"/>
        <v>109000000</v>
      </c>
      <c r="AA83" s="401">
        <f t="shared" ca="1" si="122"/>
        <v>109000000</v>
      </c>
      <c r="AB83" s="401">
        <f t="shared" ca="1" si="122"/>
        <v>0</v>
      </c>
      <c r="AC83" s="401">
        <f t="shared" ca="1" si="122"/>
        <v>3000000000</v>
      </c>
      <c r="AD83" s="401">
        <f t="shared" ca="1" si="122"/>
        <v>0</v>
      </c>
      <c r="AE83" s="401">
        <f t="shared" ca="1" si="122"/>
        <v>0</v>
      </c>
      <c r="AF83" s="401">
        <f t="shared" ca="1" si="122"/>
        <v>0</v>
      </c>
      <c r="AG83" s="401">
        <f t="shared" ca="1" si="122"/>
        <v>0</v>
      </c>
      <c r="AH83" s="401">
        <f t="shared" ca="1" si="122"/>
        <v>1176042</v>
      </c>
      <c r="AI83" s="401">
        <f t="shared" ca="1" si="122"/>
        <v>0</v>
      </c>
      <c r="AJ83" s="401">
        <f t="shared" ca="1" si="122"/>
        <v>238650</v>
      </c>
      <c r="AK83" s="401">
        <f t="shared" ca="1" si="122"/>
        <v>238650</v>
      </c>
      <c r="AL83" s="401">
        <f t="shared" ca="1" si="122"/>
        <v>8625463</v>
      </c>
      <c r="AM83" s="401">
        <f t="shared" ca="1" si="122"/>
        <v>8625463</v>
      </c>
      <c r="AN83" s="401">
        <f t="shared" ca="1" si="122"/>
        <v>1414692</v>
      </c>
      <c r="AO83" s="401">
        <f t="shared" ca="1" si="122"/>
        <v>1414692</v>
      </c>
      <c r="AP83" s="401">
        <f t="shared" ca="1" si="122"/>
        <v>0</v>
      </c>
      <c r="AQ83" s="401">
        <f t="shared" ca="1" si="122"/>
        <v>0</v>
      </c>
      <c r="AR83" s="401">
        <f t="shared" ca="1" si="122"/>
        <v>0</v>
      </c>
      <c r="AS83" s="401">
        <f t="shared" ca="1" si="122"/>
        <v>0</v>
      </c>
      <c r="AT83" s="401">
        <f t="shared" ca="1" si="122"/>
        <v>0</v>
      </c>
      <c r="AU83" s="401">
        <f t="shared" ca="1" si="122"/>
        <v>0</v>
      </c>
      <c r="AV83" s="401">
        <f t="shared" ca="1" si="122"/>
        <v>1414692</v>
      </c>
      <c r="AW83" s="401">
        <f t="shared" ca="1" si="122"/>
        <v>1414692</v>
      </c>
    </row>
    <row r="84" spans="1:49" s="392" customFormat="1" ht="12" customHeight="1">
      <c r="A84" s="402"/>
      <c r="B84" s="402"/>
      <c r="C84" s="402"/>
      <c r="D84" s="402"/>
      <c r="E84" s="403" t="s">
        <v>292</v>
      </c>
      <c r="F84" s="402"/>
      <c r="G84" s="404"/>
      <c r="H84" s="404"/>
      <c r="I84" s="402"/>
      <c r="J84" s="424">
        <f ca="1">MAX(J10+J83-K10-K83,0)</f>
        <v>1800943500</v>
      </c>
      <c r="K84" s="424">
        <f ca="1">MAX(K10+K83-J10-J83,0)</f>
        <v>0</v>
      </c>
      <c r="L84" s="424">
        <f ca="1">MAX(L10+L83-M10-M83,0)</f>
        <v>839154687</v>
      </c>
      <c r="M84" s="424">
        <f ca="1">MAX(M10+M83-L10-L83,0)</f>
        <v>0</v>
      </c>
      <c r="N84" s="424">
        <f ca="1">MAX(N10+N83-O10-O83,0)</f>
        <v>163318285</v>
      </c>
      <c r="O84" s="424">
        <f ca="1">MAX(O10+O83-N10-N83,0)</f>
        <v>0</v>
      </c>
      <c r="P84" s="424">
        <f ca="1">MAX(P10+P83-Q10-Q83,0)</f>
        <v>0</v>
      </c>
      <c r="Q84" s="424">
        <f ca="1">MAX(Q10+Q83-P10-P83,0)</f>
        <v>0</v>
      </c>
      <c r="R84" s="424">
        <f ca="1">MAX(R10+R83-S10-S83,0)</f>
        <v>1579386736</v>
      </c>
      <c r="S84" s="424">
        <f ca="1">MAX(S10+S83-R10-R83,0)</f>
        <v>0</v>
      </c>
      <c r="T84" s="424">
        <f ca="1">MAX(T10+T83-U10-U83,0)</f>
        <v>2428785840</v>
      </c>
      <c r="U84" s="424">
        <f ca="1">MAX(U10+U83-T10-T83,0)</f>
        <v>0</v>
      </c>
      <c r="V84" s="424">
        <f ca="1">MAX(V10+V83-W10-W83,0)</f>
        <v>0</v>
      </c>
      <c r="W84" s="424">
        <f ca="1">MAX(W10+W83-V10-V83,0)</f>
        <v>0</v>
      </c>
      <c r="X84" s="424">
        <f ca="1">MAX(X10+X83-Y10-Y83,0)</f>
        <v>0</v>
      </c>
      <c r="Y84" s="424">
        <f ca="1">MAX(Y10+Y83-X10-X83,0)</f>
        <v>0</v>
      </c>
      <c r="Z84" s="424">
        <f ca="1">MAX(Z10+Z83-AA10-AA83,0)</f>
        <v>0</v>
      </c>
      <c r="AA84" s="424">
        <f ca="1">MAX(AA10+AA83-Z10-Z83,0)</f>
        <v>0</v>
      </c>
      <c r="AB84" s="424">
        <f ca="1">MAX(AB10+AB83-AC10-AC83,0)</f>
        <v>0</v>
      </c>
      <c r="AC84" s="424">
        <f ca="1">MAX(AC10+AC83-AB10-AB83,0)</f>
        <v>3000000000</v>
      </c>
      <c r="AD84" s="424">
        <f ca="1">MAX(AD10+AD83-AE10-AE83,0)</f>
        <v>0</v>
      </c>
      <c r="AE84" s="424">
        <f ca="1">MAX(AE10+AE83-AD10-AD83,0)</f>
        <v>4000000000</v>
      </c>
      <c r="AF84" s="424">
        <f ca="1">MAX(AF10+AF83-AG10-AG83,0)</f>
        <v>124728000</v>
      </c>
      <c r="AG84" s="424">
        <f ca="1">MAX(AG10+AG83-AF10-AF83,0)</f>
        <v>0</v>
      </c>
      <c r="AH84" s="424">
        <f ca="1">MAX(AH10+AH83-AI10-AI83,0)</f>
        <v>63682952</v>
      </c>
      <c r="AI84" s="424">
        <f ca="1">MAX(AI10+AI83-AH10-AH83,0)</f>
        <v>0</v>
      </c>
      <c r="AJ84" s="424">
        <f ca="1">MAX(AJ10+AJ83-AK10-AK83,0)</f>
        <v>0</v>
      </c>
      <c r="AK84" s="424">
        <f ca="1">MAX(AK10+AK83-AJ10-AJ83,0)</f>
        <v>0</v>
      </c>
      <c r="AL84" s="424">
        <f ca="1">MAX(AL10+AL83-AM10-AM83,0)</f>
        <v>0</v>
      </c>
      <c r="AM84" s="424">
        <f ca="1">MAX(AM10+AM83-AL10-AL83,0)</f>
        <v>0</v>
      </c>
      <c r="AN84" s="424">
        <f ca="1">MAX(AN10+AN83-AO10-AO83,0)</f>
        <v>0</v>
      </c>
      <c r="AO84" s="424">
        <f ca="1">MAX(AO10+AO83-AN10-AN83,0)</f>
        <v>0</v>
      </c>
      <c r="AP84" s="424">
        <f ca="1">MAX(AP10+AP83-AQ10-AQ83,0)</f>
        <v>0</v>
      </c>
      <c r="AQ84" s="424">
        <f ca="1">MAX(AQ10+AQ83-AP10-AP83,0)</f>
        <v>0</v>
      </c>
      <c r="AR84" s="424">
        <f ca="1">MAX(AR10+AR83-AS10-AS83,0)</f>
        <v>0</v>
      </c>
      <c r="AS84" s="424">
        <f ca="1">MAX(AS10+AS83-AR10-AR83,0)</f>
        <v>0</v>
      </c>
      <c r="AT84" s="424">
        <f ca="1">MAX(AT10+AT83-AU10-AU83,0)</f>
        <v>0</v>
      </c>
      <c r="AU84" s="424">
        <f ca="1">MAX(AU10+AU83-AT10-AT83,0)</f>
        <v>0</v>
      </c>
      <c r="AV84" s="424">
        <f ca="1">MAX(AV10+AV83-AW10-AW83,0)</f>
        <v>0</v>
      </c>
      <c r="AW84" s="424">
        <f ca="1">MAX(AW10+AW83-AV10-AV83,0)</f>
        <v>0</v>
      </c>
    </row>
    <row r="85" spans="1:49" s="392" customFormat="1" ht="12" customHeight="1">
      <c r="A85" s="406"/>
      <c r="B85" s="406"/>
      <c r="C85" s="407"/>
      <c r="D85" s="406"/>
      <c r="E85" s="408" t="s">
        <v>293</v>
      </c>
      <c r="F85" s="406"/>
      <c r="G85" s="409"/>
      <c r="H85" s="409"/>
      <c r="I85" s="406"/>
      <c r="J85" s="406">
        <f ca="1">J83+'04-06'!J47</f>
        <v>0</v>
      </c>
      <c r="K85" s="406">
        <f ca="1">K83+'04-06'!K47</f>
        <v>1223700000</v>
      </c>
      <c r="L85" s="406">
        <f ca="1">L83+'04-06'!L47</f>
        <v>4256938650</v>
      </c>
      <c r="M85" s="406">
        <f ca="1">M83+'04-06'!M47</f>
        <v>3418412463</v>
      </c>
      <c r="N85" s="406">
        <f ca="1">N83+'04-06'!N47</f>
        <v>163318285</v>
      </c>
      <c r="O85" s="406">
        <f ca="1">O83+'04-06'!O47</f>
        <v>0</v>
      </c>
      <c r="P85" s="406">
        <f ca="1">P83+'04-06'!P47</f>
        <v>33000000</v>
      </c>
      <c r="Q85" s="406">
        <f ca="1">Q83+'04-06'!Q47</f>
        <v>33000000</v>
      </c>
      <c r="R85" s="406">
        <f ca="1">R83+'04-06'!R47</f>
        <v>1579386736</v>
      </c>
      <c r="S85" s="406">
        <f ca="1">S83+'04-06'!S47</f>
        <v>0</v>
      </c>
      <c r="T85" s="406">
        <f ca="1">T83+'04-06'!T47</f>
        <v>3372975240</v>
      </c>
      <c r="U85" s="406">
        <f ca="1">U83+'04-06'!U47</f>
        <v>1794189400</v>
      </c>
      <c r="V85" s="406">
        <f ca="1">V83+'04-06'!V47</f>
        <v>0</v>
      </c>
      <c r="W85" s="406">
        <f ca="1">W83+'04-06'!W47</f>
        <v>0</v>
      </c>
      <c r="X85" s="406">
        <f ca="1">X83+'04-06'!X47</f>
        <v>1500000</v>
      </c>
      <c r="Y85" s="406">
        <f ca="1">Y83+'04-06'!Y47</f>
        <v>1500000</v>
      </c>
      <c r="Z85" s="406">
        <f ca="1">Z83+'04-06'!Z47</f>
        <v>580500000</v>
      </c>
      <c r="AA85" s="406">
        <f ca="1">AA83+'04-06'!AA47</f>
        <v>580500000</v>
      </c>
      <c r="AB85" s="406">
        <f ca="1">AB83+'04-06'!AB47</f>
        <v>0</v>
      </c>
      <c r="AC85" s="406">
        <f ca="1">AC83+'04-06'!AC47</f>
        <v>3000000000</v>
      </c>
      <c r="AD85" s="406">
        <f ca="1">AD83+'04-06'!AD47</f>
        <v>0</v>
      </c>
      <c r="AE85" s="406">
        <f ca="1">AE83+'04-06'!AE47</f>
        <v>0</v>
      </c>
      <c r="AF85" s="406">
        <f ca="1">AF83+'04-06'!AF47</f>
        <v>2041200</v>
      </c>
      <c r="AG85" s="406">
        <f ca="1">AG83+'04-06'!AG47</f>
        <v>0</v>
      </c>
      <c r="AH85" s="406">
        <f ca="1">AH83+'04-06'!AH47</f>
        <v>63682952</v>
      </c>
      <c r="AI85" s="406">
        <f ca="1">AI83+'04-06'!AI47</f>
        <v>2041200</v>
      </c>
      <c r="AJ85" s="406">
        <f ca="1">AJ83+'04-06'!AJ47</f>
        <v>238650</v>
      </c>
      <c r="AK85" s="406">
        <f ca="1">AK83+'04-06'!AK47</f>
        <v>238650</v>
      </c>
      <c r="AL85" s="406">
        <f ca="1">AL83+'04-06'!AL47</f>
        <v>8625463</v>
      </c>
      <c r="AM85" s="406">
        <f ca="1">AM83+'04-06'!AM47</f>
        <v>8625463</v>
      </c>
      <c r="AN85" s="406">
        <f ca="1">AN83+'04-06'!AN47</f>
        <v>63921602</v>
      </c>
      <c r="AO85" s="406">
        <f ca="1">AO83+'04-06'!AO47</f>
        <v>63921602</v>
      </c>
      <c r="AP85" s="406">
        <f ca="1">AP83+'04-06'!AP47</f>
        <v>0</v>
      </c>
      <c r="AQ85" s="406">
        <f ca="1">AQ83+'04-06'!AQ47</f>
        <v>0</v>
      </c>
      <c r="AR85" s="406">
        <f ca="1">AR83+'04-06'!AR47</f>
        <v>0</v>
      </c>
      <c r="AS85" s="406">
        <f ca="1">AS83+'04-06'!AS47</f>
        <v>0</v>
      </c>
      <c r="AT85" s="406">
        <f ca="1">AT83+'04-06'!AT47</f>
        <v>0</v>
      </c>
      <c r="AU85" s="406">
        <f ca="1">AU83+'04-06'!AU47</f>
        <v>0</v>
      </c>
      <c r="AV85" s="406">
        <f ca="1">AV83+'04-06'!AV47</f>
        <v>63921602</v>
      </c>
      <c r="AW85" s="406">
        <f ca="1">AW83+'04-06'!AW47</f>
        <v>63921602</v>
      </c>
    </row>
    <row r="86" spans="1:49" ht="12" customHeight="1">
      <c r="B86" s="411"/>
      <c r="C86" s="412"/>
      <c r="D86" s="412"/>
      <c r="E86" s="412"/>
      <c r="F86" s="412"/>
      <c r="G86" s="413"/>
      <c r="H86" s="413"/>
      <c r="I86" s="412"/>
      <c r="J86" s="412"/>
      <c r="K86" s="412"/>
      <c r="AN86" s="411"/>
      <c r="AO86" s="411"/>
      <c r="AP86" s="412"/>
      <c r="AQ86" s="412"/>
      <c r="AR86" s="412"/>
      <c r="AS86" s="413"/>
      <c r="AT86" s="413"/>
      <c r="AU86" s="413"/>
      <c r="AV86" s="413"/>
      <c r="AW86" s="429"/>
    </row>
    <row r="87" spans="1:49">
      <c r="F87" s="370"/>
      <c r="M87" s="414"/>
      <c r="O87" s="414"/>
      <c r="P87" s="414"/>
      <c r="Q87" s="414"/>
      <c r="R87" s="414"/>
      <c r="S87" s="414"/>
      <c r="T87" s="414"/>
      <c r="AH87" s="415" t="s">
        <v>296</v>
      </c>
      <c r="AI87" s="416"/>
      <c r="AJ87" s="416"/>
      <c r="AK87" s="416"/>
      <c r="AL87" s="416"/>
      <c r="AM87" s="416"/>
      <c r="AN87" s="417"/>
      <c r="AO87" s="417"/>
      <c r="AP87" s="416"/>
    </row>
    <row r="88" spans="1:49">
      <c r="F88" s="370"/>
      <c r="M88" s="414"/>
      <c r="O88" s="414"/>
      <c r="P88" s="414"/>
      <c r="Q88" s="414"/>
      <c r="R88" s="414"/>
      <c r="S88" s="414"/>
      <c r="T88" s="414"/>
      <c r="AH88" s="418" t="s">
        <v>358</v>
      </c>
      <c r="AI88" s="416"/>
      <c r="AJ88" s="416"/>
      <c r="AK88" s="416"/>
      <c r="AL88" s="416"/>
      <c r="AM88" s="416"/>
      <c r="AN88" s="417"/>
      <c r="AO88" s="417"/>
      <c r="AP88" s="416"/>
    </row>
    <row r="89" spans="1:49">
      <c r="F89" s="370"/>
      <c r="M89" s="414"/>
      <c r="O89" s="414"/>
      <c r="P89" s="414"/>
      <c r="Q89" s="414"/>
      <c r="R89" s="414"/>
      <c r="S89" s="414"/>
      <c r="T89" s="414"/>
      <c r="AH89" s="416"/>
      <c r="AI89" s="416"/>
      <c r="AJ89" s="416"/>
      <c r="AK89" s="416"/>
      <c r="AL89" s="416"/>
      <c r="AM89" s="416"/>
      <c r="AN89" s="416"/>
      <c r="AO89" s="416"/>
      <c r="AP89" s="417"/>
    </row>
    <row r="90" spans="1:49">
      <c r="F90" s="370"/>
      <c r="M90" s="414"/>
      <c r="O90" s="414"/>
      <c r="P90" s="414"/>
      <c r="Q90" s="414"/>
      <c r="R90" s="414"/>
      <c r="S90" s="414"/>
      <c r="T90" s="414"/>
      <c r="AH90" s="416"/>
      <c r="AI90" s="416"/>
      <c r="AJ90" s="416"/>
      <c r="AK90" s="416"/>
      <c r="AL90" s="416"/>
      <c r="AM90" s="416"/>
      <c r="AN90" s="416"/>
      <c r="AO90" s="416"/>
      <c r="AP90" s="417"/>
      <c r="AV90" s="419" t="str">
        <f>"Ngày 30 tháng 09 năm 2014 "</f>
        <v xml:space="preserve">Ngày 30 tháng 09 năm 2014 </v>
      </c>
    </row>
    <row r="91" spans="1:49">
      <c r="F91" s="370"/>
      <c r="M91" s="414"/>
      <c r="O91" s="414"/>
      <c r="P91" s="414"/>
      <c r="Q91" s="414"/>
      <c r="R91" s="414"/>
      <c r="S91" s="414"/>
      <c r="T91" s="414"/>
      <c r="AH91" s="416"/>
      <c r="AI91" s="420" t="s">
        <v>13</v>
      </c>
      <c r="AJ91" s="416"/>
      <c r="AK91" s="416"/>
      <c r="AL91" s="416"/>
      <c r="AM91" s="416"/>
      <c r="AN91" s="416"/>
      <c r="AO91" s="421" t="s">
        <v>14</v>
      </c>
      <c r="AP91" s="417"/>
      <c r="AV91" s="420" t="s">
        <v>178</v>
      </c>
    </row>
    <row r="92" spans="1:49">
      <c r="F92" s="370"/>
      <c r="M92" s="414"/>
      <c r="O92" s="414"/>
      <c r="P92" s="414"/>
      <c r="Q92" s="414"/>
      <c r="R92" s="414"/>
      <c r="S92" s="414"/>
      <c r="T92" s="414"/>
      <c r="AH92" s="416"/>
      <c r="AI92" s="422" t="s">
        <v>15</v>
      </c>
      <c r="AJ92" s="416"/>
      <c r="AK92" s="416"/>
      <c r="AL92" s="416"/>
      <c r="AM92" s="416"/>
      <c r="AN92" s="416"/>
      <c r="AO92" s="423" t="s">
        <v>15</v>
      </c>
      <c r="AP92" s="417"/>
      <c r="AV92" s="422" t="s">
        <v>212</v>
      </c>
    </row>
    <row r="93" spans="1:49">
      <c r="F93" s="370"/>
      <c r="M93" s="414"/>
      <c r="O93" s="414"/>
      <c r="P93" s="414"/>
      <c r="Q93" s="414"/>
      <c r="R93" s="414"/>
      <c r="S93" s="414"/>
      <c r="T93" s="414"/>
      <c r="AH93" s="416"/>
      <c r="AI93" s="416"/>
      <c r="AJ93" s="416"/>
      <c r="AK93" s="416"/>
      <c r="AL93" s="416"/>
      <c r="AM93" s="416"/>
      <c r="AN93" s="416"/>
      <c r="AO93" s="416"/>
      <c r="AP93" s="417"/>
      <c r="AV93" s="416"/>
    </row>
    <row r="94" spans="1:49">
      <c r="F94" s="370"/>
      <c r="M94" s="414"/>
      <c r="O94" s="414"/>
      <c r="P94" s="414"/>
      <c r="Q94" s="414"/>
      <c r="R94" s="414"/>
      <c r="S94" s="414"/>
      <c r="T94" s="414"/>
      <c r="AV94" s="416"/>
    </row>
    <row r="95" spans="1:49">
      <c r="F95" s="370"/>
      <c r="M95" s="414"/>
      <c r="O95" s="414"/>
      <c r="P95" s="414"/>
      <c r="Q95" s="414"/>
      <c r="R95" s="414"/>
      <c r="S95" s="414"/>
      <c r="T95" s="414"/>
    </row>
    <row r="96" spans="1:49">
      <c r="F96" s="370"/>
      <c r="M96" s="414"/>
      <c r="O96" s="414"/>
      <c r="P96" s="414"/>
      <c r="Q96" s="414"/>
      <c r="R96" s="414"/>
      <c r="S96" s="414"/>
      <c r="T96" s="414"/>
    </row>
    <row r="97" spans="6:20">
      <c r="F97" s="370"/>
      <c r="M97" s="414"/>
      <c r="O97" s="414"/>
      <c r="P97" s="414"/>
      <c r="Q97" s="414"/>
      <c r="R97" s="414"/>
      <c r="S97" s="414"/>
      <c r="T97" s="414"/>
    </row>
    <row r="98" spans="6:20">
      <c r="F98" s="370"/>
      <c r="M98" s="414"/>
      <c r="O98" s="414"/>
      <c r="P98" s="414"/>
      <c r="Q98" s="414"/>
      <c r="R98" s="414"/>
      <c r="S98" s="414"/>
      <c r="T98" s="414"/>
    </row>
    <row r="99" spans="6:20">
      <c r="F99" s="370"/>
      <c r="M99" s="414"/>
      <c r="O99" s="414"/>
      <c r="P99" s="414"/>
      <c r="Q99" s="414"/>
      <c r="R99" s="414"/>
      <c r="S99" s="414"/>
      <c r="T99" s="414"/>
    </row>
    <row r="100" spans="6:20">
      <c r="F100" s="370"/>
      <c r="M100" s="414"/>
      <c r="O100" s="414"/>
      <c r="P100" s="414"/>
      <c r="Q100" s="414"/>
      <c r="R100" s="414"/>
      <c r="S100" s="414"/>
      <c r="T100" s="414"/>
    </row>
    <row r="109" spans="6:20">
      <c r="P109" s="414"/>
    </row>
    <row r="110" spans="6:20">
      <c r="P110" s="414"/>
    </row>
    <row r="111" spans="6:20">
      <c r="M111" s="414"/>
      <c r="N111" s="414"/>
      <c r="O111" s="414"/>
      <c r="P111" s="414"/>
    </row>
    <row r="112" spans="6:20">
      <c r="M112" s="414"/>
      <c r="N112" s="414"/>
      <c r="O112" s="414"/>
      <c r="P112" s="414"/>
    </row>
    <row r="113" spans="13:16">
      <c r="M113" s="414"/>
      <c r="N113" s="414"/>
      <c r="O113" s="414"/>
    </row>
    <row r="114" spans="13:16">
      <c r="M114" s="414"/>
      <c r="N114" s="414"/>
      <c r="O114" s="414"/>
    </row>
    <row r="116" spans="13:16">
      <c r="M116" s="414"/>
      <c r="N116" s="414"/>
      <c r="O116" s="414"/>
      <c r="P116" s="414"/>
    </row>
    <row r="117" spans="13:16">
      <c r="M117" s="414"/>
      <c r="N117" s="414"/>
      <c r="O117" s="414"/>
      <c r="P117" s="414"/>
    </row>
    <row r="124" spans="13:16">
      <c r="M124" s="414"/>
      <c r="N124" s="414"/>
      <c r="O124" s="414"/>
      <c r="P124" s="414"/>
    </row>
    <row r="125" spans="13:16">
      <c r="M125" s="414"/>
      <c r="N125" s="414"/>
      <c r="O125" s="414"/>
      <c r="P125" s="414"/>
    </row>
    <row r="126" spans="13:16">
      <c r="M126" s="414"/>
      <c r="N126" s="414"/>
      <c r="O126" s="414"/>
      <c r="P126" s="414"/>
    </row>
    <row r="130" spans="13:16">
      <c r="M130" s="414"/>
      <c r="N130" s="414"/>
      <c r="O130" s="414"/>
      <c r="P130" s="414"/>
    </row>
    <row r="131" spans="13:16">
      <c r="M131" s="414"/>
      <c r="N131" s="414"/>
      <c r="O131" s="414"/>
      <c r="P131" s="414"/>
    </row>
    <row r="132" spans="13:16">
      <c r="M132" s="414"/>
      <c r="N132" s="414"/>
      <c r="O132" s="414"/>
      <c r="P132" s="414"/>
    </row>
    <row r="133" spans="13:16">
      <c r="M133" s="414"/>
      <c r="N133" s="414"/>
      <c r="O133" s="414"/>
      <c r="P133" s="414"/>
    </row>
    <row r="134" spans="13:16">
      <c r="M134" s="414"/>
      <c r="N134" s="414"/>
      <c r="O134" s="414"/>
      <c r="P134" s="414"/>
    </row>
    <row r="135" spans="13:16">
      <c r="M135" s="414"/>
      <c r="N135" s="414"/>
      <c r="O135" s="414"/>
      <c r="P135" s="414"/>
    </row>
    <row r="136" spans="13:16">
      <c r="M136" s="414"/>
      <c r="N136" s="414"/>
      <c r="O136" s="414"/>
      <c r="P136" s="414"/>
    </row>
    <row r="137" spans="13:16">
      <c r="M137" s="414"/>
      <c r="N137" s="414"/>
      <c r="O137" s="414"/>
      <c r="P137" s="414"/>
    </row>
    <row r="138" spans="13:16">
      <c r="M138" s="414"/>
      <c r="N138" s="414"/>
      <c r="O138" s="414"/>
      <c r="P138" s="414"/>
    </row>
    <row r="139" spans="13:16">
      <c r="M139" s="414"/>
      <c r="N139" s="414"/>
      <c r="O139" s="414"/>
      <c r="P139" s="414"/>
    </row>
    <row r="140" spans="13:16">
      <c r="M140" s="414"/>
      <c r="N140" s="414"/>
      <c r="O140" s="414"/>
      <c r="P140" s="414"/>
    </row>
    <row r="141" spans="13:16">
      <c r="M141" s="414"/>
      <c r="N141" s="414"/>
      <c r="O141" s="414"/>
      <c r="P141" s="414"/>
    </row>
    <row r="142" spans="13:16">
      <c r="M142" s="414"/>
      <c r="N142" s="414"/>
      <c r="O142" s="414"/>
      <c r="P142" s="414"/>
    </row>
    <row r="143" spans="13:16">
      <c r="M143" s="414"/>
      <c r="N143" s="414"/>
      <c r="O143" s="414"/>
      <c r="P143" s="414"/>
    </row>
    <row r="144" spans="13:16">
      <c r="M144" s="414"/>
      <c r="N144" s="414"/>
      <c r="O144" s="414"/>
      <c r="P144" s="414"/>
    </row>
    <row r="145" spans="13:16">
      <c r="M145" s="414"/>
      <c r="N145" s="414"/>
      <c r="O145" s="414"/>
      <c r="P145" s="414"/>
    </row>
    <row r="146" spans="13:16">
      <c r="M146" s="414"/>
      <c r="N146" s="414"/>
      <c r="O146" s="414"/>
      <c r="P146" s="414"/>
    </row>
    <row r="147" spans="13:16">
      <c r="M147" s="414"/>
      <c r="N147" s="414"/>
      <c r="O147" s="414"/>
      <c r="P147" s="414"/>
    </row>
    <row r="148" spans="13:16">
      <c r="M148" s="414"/>
      <c r="N148" s="414"/>
      <c r="O148" s="414"/>
      <c r="P148" s="414"/>
    </row>
    <row r="149" spans="13:16">
      <c r="M149" s="414"/>
      <c r="N149" s="414"/>
      <c r="O149" s="414"/>
      <c r="P149" s="414"/>
    </row>
    <row r="150" spans="13:16">
      <c r="M150" s="414"/>
      <c r="N150" s="414"/>
      <c r="O150" s="414"/>
      <c r="P150" s="414"/>
    </row>
    <row r="151" spans="13:16">
      <c r="M151" s="414"/>
      <c r="N151" s="414"/>
      <c r="O151" s="414"/>
      <c r="P151" s="414"/>
    </row>
    <row r="152" spans="13:16">
      <c r="M152" s="414"/>
      <c r="N152" s="414"/>
      <c r="O152" s="414"/>
      <c r="P152" s="414"/>
    </row>
    <row r="153" spans="13:16">
      <c r="M153" s="414"/>
      <c r="N153" s="414"/>
      <c r="O153" s="414"/>
      <c r="P153" s="414"/>
    </row>
    <row r="154" spans="13:16">
      <c r="M154" s="414"/>
      <c r="N154" s="414"/>
      <c r="O154" s="414"/>
      <c r="P154" s="414"/>
    </row>
    <row r="155" spans="13:16">
      <c r="M155" s="414"/>
      <c r="N155" s="414"/>
      <c r="O155" s="414"/>
      <c r="P155" s="414"/>
    </row>
    <row r="156" spans="13:16">
      <c r="M156" s="414"/>
      <c r="N156" s="414"/>
      <c r="O156" s="414"/>
      <c r="P156" s="414"/>
    </row>
    <row r="157" spans="13:16">
      <c r="M157" s="414"/>
      <c r="N157" s="414"/>
      <c r="O157" s="414"/>
      <c r="P157" s="414"/>
    </row>
    <row r="158" spans="13:16">
      <c r="M158" s="414"/>
      <c r="N158" s="414"/>
      <c r="O158" s="414"/>
      <c r="P158" s="414"/>
    </row>
    <row r="159" spans="13:16">
      <c r="M159" s="414"/>
      <c r="N159" s="414"/>
      <c r="O159" s="414"/>
      <c r="P159" s="414"/>
    </row>
    <row r="160" spans="13:16">
      <c r="M160" s="414"/>
      <c r="N160" s="414"/>
      <c r="O160" s="414"/>
      <c r="P160" s="414"/>
    </row>
    <row r="161" spans="13:16">
      <c r="M161" s="414"/>
      <c r="N161" s="414"/>
      <c r="O161" s="414"/>
      <c r="P161" s="414"/>
    </row>
    <row r="162" spans="13:16">
      <c r="M162" s="414"/>
      <c r="N162" s="414"/>
      <c r="O162" s="414"/>
      <c r="P162" s="414"/>
    </row>
    <row r="163" spans="13:16">
      <c r="M163" s="414"/>
      <c r="N163" s="414"/>
      <c r="O163" s="414"/>
      <c r="P163" s="414"/>
    </row>
    <row r="164" spans="13:16">
      <c r="M164" s="414"/>
      <c r="N164" s="414"/>
      <c r="O164" s="414"/>
      <c r="P164" s="414"/>
    </row>
    <row r="165" spans="13:16">
      <c r="M165" s="414"/>
      <c r="N165" s="414"/>
      <c r="O165" s="414"/>
      <c r="P165" s="414"/>
    </row>
    <row r="166" spans="13:16">
      <c r="M166" s="414"/>
      <c r="N166" s="414"/>
      <c r="O166" s="414"/>
      <c r="P166" s="414"/>
    </row>
    <row r="167" spans="13:16">
      <c r="M167" s="414"/>
      <c r="N167" s="414"/>
      <c r="O167" s="414"/>
      <c r="P167" s="414"/>
    </row>
    <row r="168" spans="13:16">
      <c r="M168" s="414"/>
      <c r="N168" s="414"/>
      <c r="O168" s="414"/>
      <c r="P168" s="414"/>
    </row>
    <row r="169" spans="13:16">
      <c r="M169" s="414"/>
      <c r="N169" s="414"/>
      <c r="O169" s="414"/>
      <c r="P169" s="414"/>
    </row>
    <row r="170" spans="13:16">
      <c r="M170" s="414"/>
      <c r="N170" s="414"/>
      <c r="O170" s="414"/>
      <c r="P170" s="414"/>
    </row>
    <row r="171" spans="13:16">
      <c r="M171" s="414"/>
      <c r="N171" s="414"/>
      <c r="O171" s="414"/>
      <c r="P171" s="414"/>
    </row>
    <row r="172" spans="13:16">
      <c r="M172" s="414"/>
      <c r="N172" s="414"/>
      <c r="O172" s="414"/>
      <c r="P172" s="414"/>
    </row>
    <row r="173" spans="13:16">
      <c r="M173" s="414"/>
      <c r="N173" s="414"/>
      <c r="O173" s="414"/>
      <c r="P173" s="414"/>
    </row>
    <row r="174" spans="13:16">
      <c r="M174" s="414"/>
      <c r="N174" s="414"/>
      <c r="O174" s="414"/>
      <c r="P174" s="414"/>
    </row>
    <row r="175" spans="13:16">
      <c r="M175" s="414"/>
      <c r="N175" s="414"/>
      <c r="O175" s="414"/>
      <c r="P175" s="414"/>
    </row>
    <row r="176" spans="13:16">
      <c r="M176" s="414"/>
      <c r="N176" s="414"/>
      <c r="O176" s="414"/>
      <c r="P176" s="414"/>
    </row>
    <row r="177" spans="13:16">
      <c r="M177" s="414"/>
      <c r="N177" s="414"/>
      <c r="O177" s="414"/>
      <c r="P177" s="414"/>
    </row>
    <row r="178" spans="13:16">
      <c r="M178" s="414"/>
      <c r="N178" s="414"/>
      <c r="O178" s="414"/>
      <c r="P178" s="414"/>
    </row>
    <row r="179" spans="13:16">
      <c r="M179" s="414"/>
      <c r="N179" s="414"/>
      <c r="O179" s="414"/>
      <c r="P179" s="414"/>
    </row>
    <row r="180" spans="13:16">
      <c r="M180" s="414"/>
      <c r="N180" s="414"/>
      <c r="O180" s="414"/>
      <c r="P180" s="414"/>
    </row>
    <row r="181" spans="13:16">
      <c r="M181" s="414"/>
      <c r="N181" s="414"/>
      <c r="O181" s="414"/>
      <c r="P181" s="414"/>
    </row>
    <row r="182" spans="13:16">
      <c r="M182" s="414"/>
      <c r="N182" s="414"/>
      <c r="O182" s="414"/>
      <c r="P182" s="414"/>
    </row>
    <row r="183" spans="13:16">
      <c r="M183" s="414"/>
      <c r="N183" s="414"/>
      <c r="O183" s="414"/>
      <c r="P183" s="414"/>
    </row>
    <row r="184" spans="13:16">
      <c r="M184" s="414"/>
      <c r="N184" s="414"/>
      <c r="O184" s="414"/>
      <c r="P184" s="414"/>
    </row>
    <row r="185" spans="13:16">
      <c r="M185" s="414"/>
      <c r="N185" s="414"/>
      <c r="O185" s="414"/>
      <c r="P185" s="414"/>
    </row>
    <row r="186" spans="13:16">
      <c r="M186" s="414"/>
      <c r="N186" s="414"/>
      <c r="O186" s="414"/>
      <c r="P186" s="414"/>
    </row>
    <row r="187" spans="13:16">
      <c r="M187" s="414"/>
      <c r="N187" s="414"/>
      <c r="O187" s="414"/>
      <c r="P187" s="414"/>
    </row>
    <row r="188" spans="13:16">
      <c r="M188" s="414"/>
      <c r="N188" s="414"/>
      <c r="O188" s="414"/>
      <c r="P188" s="414"/>
    </row>
    <row r="189" spans="13:16">
      <c r="M189" s="414"/>
      <c r="N189" s="414"/>
      <c r="O189" s="414"/>
      <c r="P189" s="414"/>
    </row>
    <row r="190" spans="13:16">
      <c r="M190" s="414"/>
      <c r="N190" s="414"/>
      <c r="O190" s="414"/>
      <c r="P190" s="414"/>
    </row>
    <row r="191" spans="13:16">
      <c r="M191" s="414"/>
      <c r="N191" s="414"/>
      <c r="O191" s="414"/>
      <c r="P191" s="414"/>
    </row>
    <row r="192" spans="13:16">
      <c r="M192" s="414"/>
      <c r="N192" s="414"/>
      <c r="O192" s="414"/>
      <c r="P192" s="414"/>
    </row>
    <row r="193" spans="13:16">
      <c r="M193" s="414"/>
      <c r="N193" s="414"/>
      <c r="O193" s="414"/>
      <c r="P193" s="414"/>
    </row>
    <row r="194" spans="13:16">
      <c r="M194" s="414"/>
      <c r="N194" s="414"/>
      <c r="O194" s="414"/>
      <c r="P194" s="414"/>
    </row>
    <row r="195" spans="13:16">
      <c r="M195" s="414"/>
      <c r="N195" s="414"/>
      <c r="O195" s="414"/>
      <c r="P195" s="414"/>
    </row>
    <row r="196" spans="13:16">
      <c r="M196" s="414"/>
      <c r="N196" s="414"/>
      <c r="O196" s="414"/>
      <c r="P196" s="414"/>
    </row>
    <row r="197" spans="13:16">
      <c r="M197" s="414"/>
      <c r="N197" s="414"/>
      <c r="O197" s="414"/>
      <c r="P197" s="414"/>
    </row>
    <row r="198" spans="13:16">
      <c r="M198" s="414"/>
      <c r="N198" s="414"/>
      <c r="O198" s="414"/>
      <c r="P198" s="414"/>
    </row>
    <row r="199" spans="13:16">
      <c r="M199" s="414"/>
      <c r="N199" s="414"/>
      <c r="O199" s="414"/>
      <c r="P199" s="414"/>
    </row>
    <row r="200" spans="13:16">
      <c r="M200" s="414"/>
      <c r="N200" s="414"/>
      <c r="O200" s="414"/>
      <c r="P200" s="414"/>
    </row>
    <row r="201" spans="13:16">
      <c r="M201" s="414"/>
      <c r="N201" s="414"/>
      <c r="O201" s="414"/>
      <c r="P201" s="414"/>
    </row>
    <row r="202" spans="13:16">
      <c r="M202" s="414"/>
      <c r="N202" s="414"/>
      <c r="O202" s="414"/>
      <c r="P202" s="414"/>
    </row>
    <row r="203" spans="13:16">
      <c r="M203" s="414"/>
      <c r="N203" s="414"/>
      <c r="O203" s="414"/>
      <c r="P203" s="414"/>
    </row>
    <row r="204" spans="13:16">
      <c r="M204" s="414"/>
      <c r="N204" s="414"/>
      <c r="O204" s="414"/>
      <c r="P204" s="414"/>
    </row>
  </sheetData>
  <autoFilter ref="A9:AW85">
    <filterColumn colId="7"/>
  </autoFilter>
  <mergeCells count="30">
    <mergeCell ref="AT7:AU7"/>
    <mergeCell ref="AV7:AW7"/>
    <mergeCell ref="AH7:AI7"/>
    <mergeCell ref="AJ7:AK7"/>
    <mergeCell ref="AL7:AM7"/>
    <mergeCell ref="AN7:AO7"/>
    <mergeCell ref="AP7:AQ7"/>
    <mergeCell ref="AR7:AS7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</mergeCells>
  <pageMargins left="0.34" right="0.16" top="0.16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AW242"/>
  <sheetViews>
    <sheetView topLeftCell="A7" workbookViewId="0">
      <pane xSplit="8" ySplit="5" topLeftCell="AS57" activePane="bottomRight" state="frozen"/>
      <selection activeCell="E170" sqref="E170"/>
      <selection pane="topRight" activeCell="E170" sqref="E170"/>
      <selection pane="bottomLeft" activeCell="E170" sqref="E170"/>
      <selection pane="bottomRight" activeCell="F74" sqref="F74"/>
    </sheetView>
  </sheetViews>
  <sheetFormatPr defaultRowHeight="12.75"/>
  <cols>
    <col min="1" max="1" width="4.85546875" style="370" customWidth="1"/>
    <col min="2" max="2" width="9" style="370" customWidth="1"/>
    <col min="3" max="3" width="7.85546875" style="370" customWidth="1"/>
    <col min="4" max="4" width="9.7109375" style="370" customWidth="1"/>
    <col min="5" max="5" width="40.28515625" style="370" customWidth="1"/>
    <col min="6" max="6" width="12.7109375" style="370" customWidth="1"/>
    <col min="7" max="8" width="5.85546875" style="371" customWidth="1"/>
    <col min="9" max="9" width="4.85546875" style="370" customWidth="1"/>
    <col min="10" max="10" width="15.42578125" style="370" customWidth="1"/>
    <col min="11" max="11" width="15.140625" style="370" customWidth="1"/>
    <col min="12" max="12" width="12.7109375" style="370" customWidth="1"/>
    <col min="13" max="13" width="12.5703125" style="370" customWidth="1"/>
    <col min="14" max="15" width="14.5703125" style="370" customWidth="1"/>
    <col min="16" max="16" width="12.42578125" style="370" customWidth="1"/>
    <col min="17" max="17" width="14" style="370" customWidth="1"/>
    <col min="18" max="19" width="11" style="370" customWidth="1"/>
    <col min="20" max="20" width="10" style="370" customWidth="1"/>
    <col min="21" max="21" width="10.140625" style="370" customWidth="1"/>
    <col min="22" max="22" width="11" style="370" customWidth="1"/>
    <col min="23" max="23" width="11.140625" style="370" customWidth="1"/>
    <col min="24" max="24" width="11.42578125" style="370" customWidth="1"/>
    <col min="25" max="25" width="11.7109375" style="370" customWidth="1"/>
    <col min="26" max="29" width="10.5703125" style="370" customWidth="1"/>
    <col min="30" max="30" width="11.85546875" style="370" customWidth="1"/>
    <col min="31" max="31" width="11.42578125" style="370" customWidth="1"/>
    <col min="32" max="32" width="14.7109375" style="370" customWidth="1"/>
    <col min="33" max="33" width="15.140625" style="370" customWidth="1"/>
    <col min="34" max="35" width="12.140625" style="370" customWidth="1"/>
    <col min="36" max="36" width="11.28515625" style="370" customWidth="1"/>
    <col min="37" max="37" width="11.140625" style="370" customWidth="1"/>
    <col min="38" max="39" width="12.5703125" style="370" customWidth="1"/>
    <col min="40" max="40" width="13.42578125" style="370" customWidth="1"/>
    <col min="41" max="41" width="12.7109375" style="370" customWidth="1"/>
    <col min="42" max="42" width="11.85546875" style="370" customWidth="1"/>
    <col min="43" max="43" width="11.5703125" style="370" customWidth="1"/>
    <col min="44" max="44" width="14.7109375" style="370" customWidth="1"/>
    <col min="45" max="45" width="15.7109375" style="370" customWidth="1"/>
    <col min="46" max="46" width="13.42578125" style="370" customWidth="1"/>
    <col min="47" max="47" width="12.7109375" style="370" customWidth="1"/>
    <col min="48" max="49" width="13.140625" style="370" customWidth="1"/>
    <col min="50" max="16384" width="9.140625" style="370"/>
  </cols>
  <sheetData>
    <row r="1" spans="1:49" ht="12.75" customHeight="1">
      <c r="A1" s="366"/>
      <c r="B1" s="367" t="s">
        <v>161</v>
      </c>
      <c r="C1" s="368"/>
      <c r="D1" s="368"/>
      <c r="E1" s="369"/>
      <c r="I1" s="368"/>
      <c r="M1" s="368" t="s">
        <v>267</v>
      </c>
      <c r="R1" s="368"/>
      <c r="S1" s="368"/>
      <c r="T1" s="368"/>
      <c r="U1" s="368"/>
      <c r="V1" s="368"/>
      <c r="W1" s="368"/>
      <c r="X1" s="368"/>
      <c r="Y1" s="368"/>
      <c r="Z1" s="368"/>
      <c r="AA1" s="368"/>
      <c r="AB1" s="368"/>
      <c r="AC1" s="368"/>
      <c r="AD1" s="368"/>
      <c r="AE1" s="368"/>
      <c r="AF1" s="368"/>
      <c r="AG1" s="368"/>
      <c r="AH1" s="368"/>
      <c r="AI1" s="368"/>
      <c r="AJ1" s="368"/>
      <c r="AK1" s="368"/>
      <c r="AL1" s="368"/>
      <c r="AM1" s="368"/>
      <c r="AN1" s="368"/>
      <c r="AO1" s="368"/>
      <c r="AP1" s="368"/>
      <c r="AQ1" s="368"/>
      <c r="AR1" s="368"/>
      <c r="AS1" s="368"/>
      <c r="AT1" s="368"/>
      <c r="AU1" s="368"/>
      <c r="AV1" s="368"/>
      <c r="AW1" s="368"/>
    </row>
    <row r="2" spans="1:49" ht="12.75" customHeight="1">
      <c r="A2" s="366"/>
      <c r="B2" s="367" t="s">
        <v>247</v>
      </c>
      <c r="C2" s="368"/>
      <c r="D2" s="368"/>
      <c r="E2" s="368"/>
      <c r="I2" s="372"/>
      <c r="M2" s="492" t="s">
        <v>268</v>
      </c>
      <c r="R2" s="372"/>
      <c r="S2" s="372"/>
      <c r="T2" s="372"/>
      <c r="U2" s="372"/>
      <c r="V2" s="372"/>
      <c r="W2" s="372"/>
      <c r="X2" s="372"/>
      <c r="Y2" s="372"/>
      <c r="Z2" s="372"/>
      <c r="AA2" s="372"/>
      <c r="AB2" s="372"/>
      <c r="AC2" s="372"/>
      <c r="AD2" s="372"/>
      <c r="AE2" s="372"/>
      <c r="AF2" s="372"/>
      <c r="AG2" s="372"/>
      <c r="AH2" s="372"/>
      <c r="AI2" s="372"/>
      <c r="AJ2" s="372"/>
      <c r="AK2" s="372"/>
      <c r="AL2" s="372"/>
      <c r="AM2" s="372"/>
      <c r="AN2" s="372"/>
      <c r="AO2" s="372"/>
      <c r="AP2" s="372"/>
      <c r="AQ2" s="372"/>
      <c r="AR2" s="372"/>
      <c r="AS2" s="372"/>
      <c r="AT2" s="372"/>
      <c r="AU2" s="372"/>
      <c r="AV2" s="372"/>
      <c r="AW2" s="372"/>
    </row>
    <row r="3" spans="1:49" ht="10.5" customHeight="1">
      <c r="A3" s="368"/>
      <c r="B3" s="368"/>
      <c r="C3" s="368"/>
      <c r="D3" s="368"/>
      <c r="E3" s="368"/>
      <c r="F3" s="372"/>
      <c r="G3" s="374"/>
      <c r="H3" s="374"/>
      <c r="I3" s="372"/>
      <c r="M3" s="492"/>
      <c r="R3" s="372"/>
      <c r="S3" s="372"/>
      <c r="T3" s="372"/>
      <c r="U3" s="372"/>
      <c r="V3" s="372"/>
      <c r="W3" s="372"/>
      <c r="X3" s="372"/>
      <c r="Y3" s="372"/>
      <c r="Z3" s="372"/>
      <c r="AA3" s="372"/>
      <c r="AB3" s="372"/>
      <c r="AC3" s="372"/>
      <c r="AD3" s="372"/>
      <c r="AE3" s="372"/>
      <c r="AF3" s="372"/>
      <c r="AG3" s="372"/>
      <c r="AH3" s="372"/>
      <c r="AI3" s="372"/>
      <c r="AJ3" s="372"/>
      <c r="AK3" s="372"/>
      <c r="AL3" s="372"/>
      <c r="AM3" s="372"/>
      <c r="AN3" s="372"/>
      <c r="AO3" s="372"/>
      <c r="AP3" s="372"/>
      <c r="AQ3" s="372"/>
      <c r="AR3" s="372"/>
      <c r="AS3" s="372"/>
      <c r="AT3" s="372"/>
      <c r="AU3" s="372"/>
      <c r="AV3" s="372"/>
      <c r="AW3" s="372"/>
    </row>
    <row r="4" spans="1:49" ht="19.5" customHeight="1">
      <c r="B4" s="493" t="s">
        <v>151</v>
      </c>
      <c r="C4" s="493"/>
      <c r="D4" s="493"/>
      <c r="E4" s="493"/>
      <c r="F4" s="493"/>
      <c r="G4" s="493"/>
      <c r="H4" s="493"/>
      <c r="I4" s="493"/>
      <c r="J4" s="493"/>
      <c r="K4" s="493"/>
      <c r="L4" s="493"/>
      <c r="M4" s="493"/>
      <c r="N4" s="375"/>
      <c r="O4" s="375"/>
      <c r="P4" s="375"/>
      <c r="Q4" s="375"/>
      <c r="R4" s="377"/>
      <c r="S4" s="377"/>
      <c r="T4" s="377"/>
      <c r="U4" s="377"/>
      <c r="V4" s="377"/>
      <c r="W4" s="377"/>
      <c r="X4" s="377"/>
      <c r="Y4" s="377"/>
      <c r="Z4" s="377"/>
      <c r="AA4" s="377"/>
      <c r="AB4" s="377"/>
      <c r="AC4" s="377"/>
      <c r="AD4" s="377"/>
      <c r="AE4" s="377"/>
      <c r="AF4" s="377"/>
      <c r="AG4" s="377"/>
      <c r="AH4" s="377"/>
      <c r="AI4" s="377"/>
      <c r="AJ4" s="377"/>
      <c r="AK4" s="377"/>
      <c r="AL4" s="377"/>
      <c r="AM4" s="377"/>
      <c r="AN4" s="377"/>
      <c r="AO4" s="377"/>
      <c r="AP4" s="377"/>
      <c r="AQ4" s="377"/>
      <c r="AR4" s="377"/>
      <c r="AS4" s="377"/>
      <c r="AT4" s="377"/>
      <c r="AU4" s="377"/>
      <c r="AV4" s="377"/>
      <c r="AW4" s="377"/>
    </row>
    <row r="5" spans="1:49" ht="15">
      <c r="B5" s="494" t="s">
        <v>359</v>
      </c>
      <c r="C5" s="494"/>
      <c r="D5" s="494"/>
      <c r="E5" s="494"/>
      <c r="F5" s="494"/>
      <c r="G5" s="494"/>
      <c r="H5" s="494"/>
      <c r="I5" s="494"/>
      <c r="J5" s="494"/>
      <c r="K5" s="494"/>
      <c r="L5" s="494"/>
      <c r="M5" s="494"/>
      <c r="N5" s="494"/>
      <c r="O5" s="494"/>
      <c r="P5" s="494"/>
      <c r="Q5" s="378"/>
    </row>
    <row r="7" spans="1:49" ht="13.5" customHeight="1">
      <c r="A7" s="495" t="s">
        <v>50</v>
      </c>
      <c r="B7" s="497" t="s">
        <v>30</v>
      </c>
      <c r="C7" s="498" t="s">
        <v>1</v>
      </c>
      <c r="D7" s="499"/>
      <c r="E7" s="497" t="s">
        <v>0</v>
      </c>
      <c r="F7" s="497" t="s">
        <v>152</v>
      </c>
      <c r="G7" s="500" t="s">
        <v>153</v>
      </c>
      <c r="H7" s="500"/>
      <c r="I7" s="501" t="s">
        <v>50</v>
      </c>
      <c r="J7" s="497" t="s">
        <v>269</v>
      </c>
      <c r="K7" s="497"/>
      <c r="L7" s="497" t="s">
        <v>270</v>
      </c>
      <c r="M7" s="497"/>
      <c r="N7" s="497" t="s">
        <v>271</v>
      </c>
      <c r="O7" s="497"/>
      <c r="P7" s="497" t="s">
        <v>272</v>
      </c>
      <c r="Q7" s="497"/>
      <c r="R7" s="497" t="s">
        <v>273</v>
      </c>
      <c r="S7" s="497"/>
      <c r="T7" s="497" t="s">
        <v>274</v>
      </c>
      <c r="U7" s="497"/>
      <c r="V7" s="497" t="s">
        <v>275</v>
      </c>
      <c r="W7" s="497"/>
      <c r="X7" s="497" t="s">
        <v>276</v>
      </c>
      <c r="Y7" s="497"/>
      <c r="Z7" s="497" t="s">
        <v>277</v>
      </c>
      <c r="AA7" s="497"/>
      <c r="AB7" s="497" t="s">
        <v>278</v>
      </c>
      <c r="AC7" s="497"/>
      <c r="AD7" s="497" t="s">
        <v>279</v>
      </c>
      <c r="AE7" s="497"/>
      <c r="AF7" s="497" t="s">
        <v>280</v>
      </c>
      <c r="AG7" s="497"/>
      <c r="AH7" s="497" t="s">
        <v>281</v>
      </c>
      <c r="AI7" s="497"/>
      <c r="AJ7" s="497" t="s">
        <v>282</v>
      </c>
      <c r="AK7" s="497"/>
      <c r="AL7" s="497" t="s">
        <v>283</v>
      </c>
      <c r="AM7" s="497"/>
      <c r="AN7" s="497" t="s">
        <v>284</v>
      </c>
      <c r="AO7" s="497"/>
      <c r="AP7" s="497" t="s">
        <v>285</v>
      </c>
      <c r="AQ7" s="497"/>
      <c r="AR7" s="497" t="s">
        <v>286</v>
      </c>
      <c r="AS7" s="497"/>
      <c r="AT7" s="497" t="s">
        <v>287</v>
      </c>
      <c r="AU7" s="497"/>
      <c r="AV7" s="497" t="s">
        <v>288</v>
      </c>
      <c r="AW7" s="497"/>
    </row>
    <row r="8" spans="1:49" ht="22.5" customHeight="1">
      <c r="A8" s="496"/>
      <c r="B8" s="497"/>
      <c r="C8" s="381" t="s">
        <v>19</v>
      </c>
      <c r="D8" s="380" t="s">
        <v>42</v>
      </c>
      <c r="E8" s="497"/>
      <c r="F8" s="497"/>
      <c r="G8" s="382" t="s">
        <v>32</v>
      </c>
      <c r="H8" s="382" t="s">
        <v>33</v>
      </c>
      <c r="I8" s="501"/>
      <c r="J8" s="380" t="s">
        <v>32</v>
      </c>
      <c r="K8" s="380" t="s">
        <v>33</v>
      </c>
      <c r="L8" s="380" t="s">
        <v>32</v>
      </c>
      <c r="M8" s="380" t="s">
        <v>33</v>
      </c>
      <c r="N8" s="380" t="s">
        <v>32</v>
      </c>
      <c r="O8" s="380" t="s">
        <v>33</v>
      </c>
      <c r="P8" s="380" t="s">
        <v>32</v>
      </c>
      <c r="Q8" s="380" t="s">
        <v>33</v>
      </c>
      <c r="R8" s="380" t="s">
        <v>32</v>
      </c>
      <c r="S8" s="380" t="s">
        <v>33</v>
      </c>
      <c r="T8" s="380" t="s">
        <v>32</v>
      </c>
      <c r="U8" s="380" t="s">
        <v>33</v>
      </c>
      <c r="V8" s="380" t="s">
        <v>32</v>
      </c>
      <c r="W8" s="380" t="s">
        <v>33</v>
      </c>
      <c r="X8" s="380" t="s">
        <v>32</v>
      </c>
      <c r="Y8" s="380" t="s">
        <v>33</v>
      </c>
      <c r="Z8" s="380" t="s">
        <v>32</v>
      </c>
      <c r="AA8" s="380" t="s">
        <v>33</v>
      </c>
      <c r="AB8" s="380" t="s">
        <v>32</v>
      </c>
      <c r="AC8" s="380" t="s">
        <v>33</v>
      </c>
      <c r="AD8" s="380" t="s">
        <v>32</v>
      </c>
      <c r="AE8" s="380" t="s">
        <v>33</v>
      </c>
      <c r="AF8" s="380" t="s">
        <v>32</v>
      </c>
      <c r="AG8" s="380" t="s">
        <v>33</v>
      </c>
      <c r="AH8" s="380" t="s">
        <v>32</v>
      </c>
      <c r="AI8" s="380" t="s">
        <v>33</v>
      </c>
      <c r="AJ8" s="380" t="s">
        <v>32</v>
      </c>
      <c r="AK8" s="380" t="s">
        <v>33</v>
      </c>
      <c r="AL8" s="380" t="s">
        <v>32</v>
      </c>
      <c r="AM8" s="380" t="s">
        <v>33</v>
      </c>
      <c r="AN8" s="380" t="s">
        <v>32</v>
      </c>
      <c r="AO8" s="380" t="s">
        <v>33</v>
      </c>
      <c r="AP8" s="380" t="s">
        <v>32</v>
      </c>
      <c r="AQ8" s="380" t="s">
        <v>33</v>
      </c>
      <c r="AR8" s="380" t="s">
        <v>32</v>
      </c>
      <c r="AS8" s="380" t="s">
        <v>33</v>
      </c>
      <c r="AT8" s="380" t="s">
        <v>32</v>
      </c>
      <c r="AU8" s="380" t="s">
        <v>33</v>
      </c>
      <c r="AV8" s="380" t="s">
        <v>32</v>
      </c>
      <c r="AW8" s="380" t="s">
        <v>33</v>
      </c>
    </row>
    <row r="9" spans="1:49" s="384" customFormat="1" ht="8.25" customHeight="1">
      <c r="A9" s="383">
        <v>1</v>
      </c>
      <c r="B9" s="383">
        <v>2</v>
      </c>
      <c r="C9" s="383">
        <v>3</v>
      </c>
      <c r="D9" s="383">
        <v>4</v>
      </c>
      <c r="E9" s="383">
        <v>5</v>
      </c>
      <c r="F9" s="383">
        <v>6</v>
      </c>
      <c r="G9" s="383">
        <v>7</v>
      </c>
      <c r="H9" s="383">
        <v>8</v>
      </c>
      <c r="I9" s="383">
        <v>9</v>
      </c>
      <c r="J9" s="383">
        <v>10</v>
      </c>
      <c r="K9" s="383">
        <v>11</v>
      </c>
      <c r="L9" s="383">
        <v>12</v>
      </c>
      <c r="M9" s="383">
        <v>13</v>
      </c>
      <c r="N9" s="383">
        <v>14</v>
      </c>
      <c r="O9" s="383">
        <v>15</v>
      </c>
      <c r="P9" s="383">
        <v>16</v>
      </c>
      <c r="Q9" s="383">
        <v>17</v>
      </c>
      <c r="R9" s="383">
        <v>18</v>
      </c>
      <c r="S9" s="383">
        <v>19</v>
      </c>
      <c r="T9" s="383">
        <v>20</v>
      </c>
      <c r="U9" s="383">
        <v>21</v>
      </c>
      <c r="V9" s="383">
        <v>22</v>
      </c>
      <c r="W9" s="383">
        <v>23</v>
      </c>
      <c r="X9" s="383">
        <v>24</v>
      </c>
      <c r="Y9" s="383">
        <v>25</v>
      </c>
      <c r="Z9" s="383">
        <v>26</v>
      </c>
      <c r="AA9" s="383">
        <v>27</v>
      </c>
      <c r="AB9" s="383">
        <v>28</v>
      </c>
      <c r="AC9" s="383">
        <v>29</v>
      </c>
      <c r="AD9" s="383">
        <v>30</v>
      </c>
      <c r="AE9" s="383">
        <v>31</v>
      </c>
      <c r="AF9" s="383">
        <v>32</v>
      </c>
      <c r="AG9" s="383">
        <v>33</v>
      </c>
      <c r="AH9" s="383">
        <v>34</v>
      </c>
      <c r="AI9" s="383">
        <v>35</v>
      </c>
      <c r="AJ9" s="383">
        <v>36</v>
      </c>
      <c r="AK9" s="383">
        <v>37</v>
      </c>
      <c r="AL9" s="383">
        <v>38</v>
      </c>
      <c r="AM9" s="383">
        <v>39</v>
      </c>
      <c r="AN9" s="383">
        <v>40</v>
      </c>
      <c r="AO9" s="383">
        <v>41</v>
      </c>
      <c r="AP9" s="383">
        <v>42</v>
      </c>
      <c r="AQ9" s="383">
        <v>43</v>
      </c>
      <c r="AR9" s="383">
        <v>44</v>
      </c>
      <c r="AS9" s="383">
        <v>45</v>
      </c>
      <c r="AT9" s="383">
        <v>46</v>
      </c>
      <c r="AU9" s="383">
        <v>47</v>
      </c>
      <c r="AV9" s="383">
        <v>48</v>
      </c>
      <c r="AW9" s="383">
        <v>49</v>
      </c>
    </row>
    <row r="10" spans="1:49" s="392" customFormat="1" ht="12" customHeight="1">
      <c r="A10" s="63" t="str">
        <f t="array" ref="A10">IF(C10&lt;&gt;0,SUM(($C10:C$15&lt;&gt;0)*1),"")</f>
        <v/>
      </c>
      <c r="B10" s="385"/>
      <c r="C10" s="386"/>
      <c r="D10" s="385"/>
      <c r="E10" s="387" t="s">
        <v>239</v>
      </c>
      <c r="F10" s="388"/>
      <c r="G10" s="389"/>
      <c r="H10" s="389"/>
      <c r="I10" s="390"/>
      <c r="J10" s="391">
        <f ca="1">'07-09'!J84</f>
        <v>1800943500</v>
      </c>
      <c r="K10" s="391">
        <f ca="1">'07-09'!K84</f>
        <v>0</v>
      </c>
      <c r="L10" s="391">
        <f ca="1">'07-09'!L84</f>
        <v>839154687</v>
      </c>
      <c r="M10" s="391">
        <f ca="1">'07-09'!M84</f>
        <v>0</v>
      </c>
      <c r="N10" s="391">
        <f ca="1">'07-09'!N84</f>
        <v>163318285</v>
      </c>
      <c r="O10" s="391">
        <f ca="1">'07-09'!O84</f>
        <v>0</v>
      </c>
      <c r="P10" s="391">
        <f ca="1">'07-09'!P84</f>
        <v>0</v>
      </c>
      <c r="Q10" s="391">
        <f ca="1">'07-09'!Q84</f>
        <v>0</v>
      </c>
      <c r="R10" s="391">
        <f ca="1">'07-09'!R84</f>
        <v>1579386736</v>
      </c>
      <c r="S10" s="391">
        <f ca="1">'07-09'!S84</f>
        <v>0</v>
      </c>
      <c r="T10" s="391">
        <f ca="1">'07-09'!T84</f>
        <v>2428785840</v>
      </c>
      <c r="U10" s="391">
        <f ca="1">'07-09'!U84</f>
        <v>0</v>
      </c>
      <c r="V10" s="391">
        <f ca="1">'07-09'!V84</f>
        <v>0</v>
      </c>
      <c r="W10" s="391">
        <f ca="1">'07-09'!W84</f>
        <v>0</v>
      </c>
      <c r="X10" s="391">
        <f ca="1">'07-09'!X84</f>
        <v>0</v>
      </c>
      <c r="Y10" s="391">
        <f ca="1">'07-09'!Y84</f>
        <v>0</v>
      </c>
      <c r="Z10" s="391">
        <f ca="1">'07-09'!Z84</f>
        <v>0</v>
      </c>
      <c r="AA10" s="391">
        <f ca="1">'07-09'!AA84</f>
        <v>0</v>
      </c>
      <c r="AB10" s="391">
        <f ca="1">'07-09'!AB84</f>
        <v>0</v>
      </c>
      <c r="AC10" s="391">
        <f ca="1">'07-09'!AC84</f>
        <v>3000000000</v>
      </c>
      <c r="AD10" s="391">
        <f ca="1">'07-09'!AD84</f>
        <v>0</v>
      </c>
      <c r="AE10" s="391">
        <f ca="1">'07-09'!AE84</f>
        <v>4000000000</v>
      </c>
      <c r="AF10" s="391">
        <f ca="1">'07-09'!AF84</f>
        <v>124728000</v>
      </c>
      <c r="AG10" s="391">
        <f ca="1">'07-09'!AG84</f>
        <v>0</v>
      </c>
      <c r="AH10" s="391">
        <f ca="1">'07-09'!AH84</f>
        <v>63682952</v>
      </c>
      <c r="AI10" s="391">
        <f ca="1">'07-09'!AI84</f>
        <v>0</v>
      </c>
      <c r="AJ10" s="391">
        <f ca="1">'07-09'!AJ84</f>
        <v>0</v>
      </c>
      <c r="AK10" s="391">
        <f ca="1">'07-09'!AK84</f>
        <v>0</v>
      </c>
      <c r="AL10" s="391">
        <f ca="1">'07-09'!AL84</f>
        <v>0</v>
      </c>
      <c r="AM10" s="391">
        <f ca="1">'07-09'!AM84</f>
        <v>0</v>
      </c>
      <c r="AN10" s="391">
        <f ca="1">'07-09'!AN84</f>
        <v>0</v>
      </c>
      <c r="AO10" s="391">
        <f ca="1">'07-09'!AO84</f>
        <v>0</v>
      </c>
      <c r="AP10" s="391">
        <f ca="1">'07-09'!AP84</f>
        <v>0</v>
      </c>
      <c r="AQ10" s="391">
        <f ca="1">'07-09'!AQ84</f>
        <v>0</v>
      </c>
      <c r="AR10" s="391">
        <f ca="1">'07-09'!AR84</f>
        <v>0</v>
      </c>
      <c r="AS10" s="391">
        <f ca="1">'07-09'!AS84</f>
        <v>0</v>
      </c>
      <c r="AT10" s="391">
        <f ca="1">'07-09'!AT84</f>
        <v>0</v>
      </c>
      <c r="AU10" s="391">
        <f ca="1">'07-09'!AU84</f>
        <v>0</v>
      </c>
      <c r="AV10" s="391">
        <f ca="1">'07-09'!AV84</f>
        <v>0</v>
      </c>
      <c r="AW10" s="391">
        <f ca="1">'07-09'!AW84</f>
        <v>0</v>
      </c>
    </row>
    <row r="11" spans="1:49" s="392" customFormat="1" ht="12" customHeight="1">
      <c r="A11" s="63">
        <f t="array" aca="1" ref="A11" ca="1">IF(C11&lt;&gt;0,SUM(($C$11:C11&lt;&gt;0)*1),"")</f>
        <v>1</v>
      </c>
      <c r="B11" s="393">
        <f ca="1">IF(ROWS($1:1)&gt;COUNT(Dong9),"",OFFSET(TH!C$1,SMALL(Dong9,ROWS($1:1)),))</f>
        <v>41915</v>
      </c>
      <c r="C11" s="393" t="str">
        <f ca="1">IF(ROWS($1:1)&gt;COUNT(Dong9),"",OFFSET(TH!D$1,SMALL(Dong9,ROWS($1:1)),))</f>
        <v>GBN</v>
      </c>
      <c r="D11" s="393">
        <f ca="1">IF(ROWS($1:1)&gt;COUNT(Dong9),"",OFFSET(TH!E$1,SMALL(Dong9,ROWS($1:1)),))</f>
        <v>41915</v>
      </c>
      <c r="E11" s="443" t="str">
        <f ca="1">IF(ROWS($1:1)&gt;COUNT(Dong9),"",OFFSET(TH!F$1,SMALL(Dong9,ROWS($1:1)),))</f>
        <v>Thanh toán tiền dự án cấp thoát nước</v>
      </c>
      <c r="F11" s="444">
        <f ca="1">IF(ROWS($1:1)&gt;COUNT(Dong9),"",OFFSET(TH!I$1,SMALL(Dong9,ROWS($1:1)),))</f>
        <v>16327199</v>
      </c>
      <c r="G11" s="446" t="str">
        <f ca="1">IF(ROWS($1:1)&gt;COUNT(Dong9),"",OFFSET(TH!J$1,SMALL(Dong9,ROWS($1:1)),))</f>
        <v>331</v>
      </c>
      <c r="H11" s="446" t="str">
        <f ca="1">IF(ROWS($1:1)&gt;COUNT(Dong9),"",OFFSET(TH!K$1,SMALL(Dong9,ROWS($1:1)),))</f>
        <v>1121</v>
      </c>
      <c r="I11" s="63">
        <f t="shared" ref="I11:I71" ca="1" si="0">A11</f>
        <v>1</v>
      </c>
      <c r="J11" s="395">
        <f t="shared" ref="J11:J71" ca="1" si="1">IF($G11="1111",$F11,0)</f>
        <v>0</v>
      </c>
      <c r="K11" s="395">
        <f t="shared" ref="K11:K71" ca="1" si="2">IF($H11="1111",$F11,0)</f>
        <v>0</v>
      </c>
      <c r="L11" s="395">
        <f t="shared" ref="L11:L71" ca="1" si="3">IF($G11="1121",$F11,0)</f>
        <v>0</v>
      </c>
      <c r="M11" s="395">
        <f t="shared" ref="M11:M71" ca="1" si="4">IF($H11="1121",$F11,0)</f>
        <v>16327199</v>
      </c>
      <c r="N11" s="395">
        <f t="shared" ref="N11:N71" ca="1" si="5">IF($G11="1331",$F11,0)</f>
        <v>0</v>
      </c>
      <c r="O11" s="395">
        <f t="shared" ref="O11:O71" ca="1" si="6">IF($H11="1331",$F11,0)</f>
        <v>0</v>
      </c>
      <c r="P11" s="395">
        <f t="shared" ref="P11:P71" ca="1" si="7">IF($G11="1388",$F11,0)</f>
        <v>0</v>
      </c>
      <c r="Q11" s="395">
        <f t="shared" ref="Q11:Q71" ca="1" si="8">IF($H11="1388",$F11,0)</f>
        <v>0</v>
      </c>
      <c r="R11" s="395">
        <f ca="1">IF($G11="2412",$F11,0)</f>
        <v>0</v>
      </c>
      <c r="S11" s="395">
        <f ca="1">IF($H11="2412",$F11,0)</f>
        <v>0</v>
      </c>
      <c r="T11" s="395">
        <f t="shared" ref="T11:T71" ca="1" si="9">IF($G11="331",$F11,0)</f>
        <v>16327199</v>
      </c>
      <c r="U11" s="395">
        <f t="shared" ref="U11:U71" ca="1" si="10">IF($H11="331",$F11,0)</f>
        <v>0</v>
      </c>
      <c r="V11" s="395">
        <f t="shared" ref="V11:V71" ca="1" si="11">IF($G11="3334",$F11,0)</f>
        <v>0</v>
      </c>
      <c r="W11" s="395">
        <f t="shared" ref="W11:W71" ca="1" si="12">IF($H11="3334",$F11,0)</f>
        <v>0</v>
      </c>
      <c r="X11" s="395">
        <f t="shared" ref="X11:X71" ca="1" si="13">IF($G11="33382",$F11,0)</f>
        <v>0</v>
      </c>
      <c r="Y11" s="395">
        <f t="shared" ref="Y11:Y71" ca="1" si="14">IF($H11="33382",$F11,0)</f>
        <v>0</v>
      </c>
      <c r="Z11" s="395">
        <f t="shared" ref="Z11:Z71" ca="1" si="15">IF($G11="3388",$F11,0)</f>
        <v>0</v>
      </c>
      <c r="AA11" s="395">
        <f t="shared" ref="AA11:AA71" ca="1" si="16">IF($H11="3388",$F11,0)</f>
        <v>0</v>
      </c>
      <c r="AB11" s="395">
        <f t="shared" ref="AB11:AB71" ca="1" si="17">IF($G11="3411",$F11,0)</f>
        <v>0</v>
      </c>
      <c r="AC11" s="395">
        <f t="shared" ref="AC11:AC71" ca="1" si="18">IF($H11="3411",$F11,0)</f>
        <v>0</v>
      </c>
      <c r="AD11" s="395">
        <f t="shared" ref="AD11:AD71" ca="1" si="19">IF($G11="4111",$F11,0)</f>
        <v>0</v>
      </c>
      <c r="AE11" s="395">
        <f t="shared" ref="AE11:AE71" ca="1" si="20">IF($H11="4111",$F11,0)</f>
        <v>0</v>
      </c>
      <c r="AF11" s="395">
        <f t="shared" ref="AF11:AF71" ca="1" si="21">IF($G11="4211",$F11,0)</f>
        <v>0</v>
      </c>
      <c r="AG11" s="395">
        <f t="shared" ref="AG11:AG71" ca="1" si="22">IF($H11="4211",$F11,0)</f>
        <v>0</v>
      </c>
      <c r="AH11" s="395">
        <f t="shared" ref="AH11:AH71" ca="1" si="23">IF($G11="4212",$F11,0)</f>
        <v>0</v>
      </c>
      <c r="AI11" s="395">
        <f t="shared" ref="AI11:AI71" ca="1" si="24">IF($H11="4212",$F11,0)</f>
        <v>0</v>
      </c>
      <c r="AJ11" s="395">
        <f t="shared" ref="AJ11:AJ71" ca="1" si="25">IF($G11="515",$F11,0)</f>
        <v>0</v>
      </c>
      <c r="AK11" s="395">
        <f t="shared" ref="AK11:AK71" ca="1" si="26">IF($H11="515",$F11,0)</f>
        <v>0</v>
      </c>
      <c r="AL11" s="395">
        <f t="shared" ref="AL11:AL71" ca="1" si="27">IF($G11="635",$F11,0)</f>
        <v>0</v>
      </c>
      <c r="AM11" s="395">
        <f t="shared" ref="AM11:AM71" ca="1" si="28">IF($H11="635",$F11,0)</f>
        <v>0</v>
      </c>
      <c r="AN11" s="395">
        <f t="shared" ref="AN11:AN71" ca="1" si="29">IF($G11="642",$F11,0)</f>
        <v>0</v>
      </c>
      <c r="AO11" s="395">
        <f t="shared" ref="AO11:AO71" ca="1" si="30">IF($H11="642",$F11,0)</f>
        <v>0</v>
      </c>
      <c r="AP11" s="395">
        <f t="shared" ref="AP11:AP71" ca="1" si="31">IF($G11="711",$F11,0)</f>
        <v>0</v>
      </c>
      <c r="AQ11" s="395">
        <f t="shared" ref="AQ11:AQ71" ca="1" si="32">IF($H11="711",$F11,0)</f>
        <v>0</v>
      </c>
      <c r="AR11" s="395">
        <f t="shared" ref="AR11:AR71" ca="1" si="33">IF($G11="811",$F11,0)</f>
        <v>0</v>
      </c>
      <c r="AS11" s="395">
        <f t="shared" ref="AS11:AS71" ca="1" si="34">IF($H11="811",$F11,0)</f>
        <v>0</v>
      </c>
      <c r="AT11" s="395">
        <f t="shared" ref="AT11:AT71" ca="1" si="35">IF($G11="821",$F11,0)</f>
        <v>0</v>
      </c>
      <c r="AU11" s="395">
        <f t="shared" ref="AU11:AU71" ca="1" si="36">IF($H11="821",$F11,0)</f>
        <v>0</v>
      </c>
      <c r="AV11" s="395">
        <f t="shared" ref="AV11:AV71" ca="1" si="37">IF($G11="911",$F11,0)</f>
        <v>0</v>
      </c>
      <c r="AW11" s="395">
        <f t="shared" ref="AW11:AW71" ca="1" si="38">IF($H11="911",$F11,0)</f>
        <v>0</v>
      </c>
    </row>
    <row r="12" spans="1:49" s="392" customFormat="1" ht="12" customHeight="1">
      <c r="A12" s="63">
        <f t="array" aca="1" ref="A12" ca="1">IF(C12&lt;&gt;0,SUM(($C$11:C12&lt;&gt;0)*1),"")</f>
        <v>2</v>
      </c>
      <c r="B12" s="393">
        <f ca="1">IF(ROWS($1:2)&gt;COUNT(Dong9),"",OFFSET(TH!C$1,SMALL(Dong9,ROWS($1:2)),))</f>
        <v>41915</v>
      </c>
      <c r="C12" s="393" t="str">
        <f ca="1">IF(ROWS($1:2)&gt;COUNT(Dong9),"",OFFSET(TH!D$1,SMALL(Dong9,ROWS($1:2)),))</f>
        <v>GBN</v>
      </c>
      <c r="D12" s="393">
        <f ca="1">IF(ROWS($1:2)&gt;COUNT(Dong9),"",OFFSET(TH!E$1,SMALL(Dong9,ROWS($1:2)),))</f>
        <v>41915</v>
      </c>
      <c r="E12" s="443" t="str">
        <f ca="1">IF(ROWS($1:2)&gt;COUNT(Dong9),"",OFFSET(TH!F$1,SMALL(Dong9,ROWS($1:2)),))</f>
        <v xml:space="preserve">Phí chuyển tiền </v>
      </c>
      <c r="F12" s="444">
        <f ca="1">IF(ROWS($1:2)&gt;COUNT(Dong9),"",OFFSET(TH!I$1,SMALL(Dong9,ROWS($1:2)),))</f>
        <v>25000</v>
      </c>
      <c r="G12" s="456" t="str">
        <f ca="1">IF(ROWS($1:2)&gt;COUNT(Dong9),"",OFFSET(TH!J$1,SMALL(Dong9,ROWS($1:2)),))</f>
        <v>642</v>
      </c>
      <c r="H12" s="456" t="str">
        <f ca="1">IF(ROWS($1:2)&gt;COUNT(Dong9),"",OFFSET(TH!K$1,SMALL(Dong9,ROWS($1:2)),))</f>
        <v>1121</v>
      </c>
      <c r="I12" s="63">
        <f t="shared" ca="1" si="0"/>
        <v>2</v>
      </c>
      <c r="J12" s="395">
        <f t="shared" ca="1" si="1"/>
        <v>0</v>
      </c>
      <c r="K12" s="395">
        <f t="shared" ca="1" si="2"/>
        <v>0</v>
      </c>
      <c r="L12" s="395">
        <f t="shared" ca="1" si="3"/>
        <v>0</v>
      </c>
      <c r="M12" s="395">
        <f t="shared" ca="1" si="4"/>
        <v>25000</v>
      </c>
      <c r="N12" s="395">
        <f t="shared" ca="1" si="5"/>
        <v>0</v>
      </c>
      <c r="O12" s="395">
        <f t="shared" ca="1" si="6"/>
        <v>0</v>
      </c>
      <c r="P12" s="395">
        <f t="shared" ca="1" si="7"/>
        <v>0</v>
      </c>
      <c r="Q12" s="395">
        <f t="shared" ca="1" si="8"/>
        <v>0</v>
      </c>
      <c r="R12" s="395">
        <f t="shared" ref="R12:R71" ca="1" si="39">IF($G12="2412",$F12,0)</f>
        <v>0</v>
      </c>
      <c r="S12" s="395">
        <f t="shared" ref="S12:S71" ca="1" si="40">IF($H12="2412",$F12,0)</f>
        <v>0</v>
      </c>
      <c r="T12" s="395">
        <f t="shared" ca="1" si="9"/>
        <v>0</v>
      </c>
      <c r="U12" s="395">
        <f t="shared" ca="1" si="10"/>
        <v>0</v>
      </c>
      <c r="V12" s="395">
        <f t="shared" ca="1" si="11"/>
        <v>0</v>
      </c>
      <c r="W12" s="395">
        <f t="shared" ca="1" si="12"/>
        <v>0</v>
      </c>
      <c r="X12" s="395">
        <f t="shared" ca="1" si="13"/>
        <v>0</v>
      </c>
      <c r="Y12" s="395">
        <f t="shared" ca="1" si="14"/>
        <v>0</v>
      </c>
      <c r="Z12" s="395">
        <f t="shared" ca="1" si="15"/>
        <v>0</v>
      </c>
      <c r="AA12" s="395">
        <f t="shared" ca="1" si="16"/>
        <v>0</v>
      </c>
      <c r="AB12" s="395">
        <f t="shared" ca="1" si="17"/>
        <v>0</v>
      </c>
      <c r="AC12" s="395">
        <f t="shared" ca="1" si="18"/>
        <v>0</v>
      </c>
      <c r="AD12" s="395">
        <f t="shared" ca="1" si="19"/>
        <v>0</v>
      </c>
      <c r="AE12" s="395">
        <f t="shared" ca="1" si="20"/>
        <v>0</v>
      </c>
      <c r="AF12" s="395">
        <f t="shared" ca="1" si="21"/>
        <v>0</v>
      </c>
      <c r="AG12" s="395">
        <f t="shared" ca="1" si="22"/>
        <v>0</v>
      </c>
      <c r="AH12" s="395">
        <f t="shared" ca="1" si="23"/>
        <v>0</v>
      </c>
      <c r="AI12" s="395">
        <f t="shared" ca="1" si="24"/>
        <v>0</v>
      </c>
      <c r="AJ12" s="395">
        <f t="shared" ca="1" si="25"/>
        <v>0</v>
      </c>
      <c r="AK12" s="395">
        <f t="shared" ca="1" si="26"/>
        <v>0</v>
      </c>
      <c r="AL12" s="395">
        <f t="shared" ca="1" si="27"/>
        <v>0</v>
      </c>
      <c r="AM12" s="395">
        <f t="shared" ca="1" si="28"/>
        <v>0</v>
      </c>
      <c r="AN12" s="395">
        <f t="shared" ca="1" si="29"/>
        <v>25000</v>
      </c>
      <c r="AO12" s="395">
        <f t="shared" ca="1" si="30"/>
        <v>0</v>
      </c>
      <c r="AP12" s="395">
        <f t="shared" ca="1" si="31"/>
        <v>0</v>
      </c>
      <c r="AQ12" s="395">
        <f t="shared" ca="1" si="32"/>
        <v>0</v>
      </c>
      <c r="AR12" s="395">
        <f t="shared" ca="1" si="33"/>
        <v>0</v>
      </c>
      <c r="AS12" s="395">
        <f t="shared" ca="1" si="34"/>
        <v>0</v>
      </c>
      <c r="AT12" s="395">
        <f t="shared" ca="1" si="35"/>
        <v>0</v>
      </c>
      <c r="AU12" s="395">
        <f t="shared" ca="1" si="36"/>
        <v>0</v>
      </c>
      <c r="AV12" s="395">
        <f t="shared" ca="1" si="37"/>
        <v>0</v>
      </c>
      <c r="AW12" s="395">
        <f t="shared" ca="1" si="38"/>
        <v>0</v>
      </c>
    </row>
    <row r="13" spans="1:49" s="392" customFormat="1" ht="12" customHeight="1">
      <c r="A13" s="63">
        <f t="array" aca="1" ref="A13" ca="1">IF(C13&lt;&gt;0,SUM(($C$11:C13&lt;&gt;0)*1),"")</f>
        <v>3</v>
      </c>
      <c r="B13" s="393">
        <f ca="1">IF(ROWS($1:3)&gt;COUNT(Dong9),"",OFFSET(TH!C$1,SMALL(Dong9,ROWS($1:3)),))</f>
        <v>41915</v>
      </c>
      <c r="C13" s="393" t="str">
        <f ca="1">IF(ROWS($1:3)&gt;COUNT(Dong9),"",OFFSET(TH!D$1,SMALL(Dong9,ROWS($1:3)),))</f>
        <v>GBN</v>
      </c>
      <c r="D13" s="393">
        <f ca="1">IF(ROWS($1:3)&gt;COUNT(Dong9),"",OFFSET(TH!E$1,SMALL(Dong9,ROWS($1:3)),))</f>
        <v>41915</v>
      </c>
      <c r="E13" s="443" t="str">
        <f ca="1">IF(ROWS($1:3)&gt;COUNT(Dong9),"",OFFSET(TH!F$1,SMALL(Dong9,ROWS($1:3)),))</f>
        <v xml:space="preserve">VAT Phí chuyển tiền </v>
      </c>
      <c r="F13" s="444">
        <f ca="1">IF(ROWS($1:3)&gt;COUNT(Dong9),"",OFFSET(TH!I$1,SMALL(Dong9,ROWS($1:3)),))</f>
        <v>2500</v>
      </c>
      <c r="G13" s="456" t="str">
        <f ca="1">IF(ROWS($1:3)&gt;COUNT(Dong9),"",OFFSET(TH!J$1,SMALL(Dong9,ROWS($1:3)),))</f>
        <v>1331</v>
      </c>
      <c r="H13" s="456" t="str">
        <f ca="1">IF(ROWS($1:3)&gt;COUNT(Dong9),"",OFFSET(TH!K$1,SMALL(Dong9,ROWS($1:3)),))</f>
        <v>1121</v>
      </c>
      <c r="I13" s="63">
        <f t="shared" ca="1" si="0"/>
        <v>3</v>
      </c>
      <c r="J13" s="395">
        <f t="shared" ca="1" si="1"/>
        <v>0</v>
      </c>
      <c r="K13" s="395">
        <f t="shared" ca="1" si="2"/>
        <v>0</v>
      </c>
      <c r="L13" s="395">
        <f t="shared" ca="1" si="3"/>
        <v>0</v>
      </c>
      <c r="M13" s="395">
        <f t="shared" ca="1" si="4"/>
        <v>2500</v>
      </c>
      <c r="N13" s="395">
        <f t="shared" ca="1" si="5"/>
        <v>2500</v>
      </c>
      <c r="O13" s="395">
        <f t="shared" ca="1" si="6"/>
        <v>0</v>
      </c>
      <c r="P13" s="395">
        <f t="shared" ca="1" si="7"/>
        <v>0</v>
      </c>
      <c r="Q13" s="395">
        <f t="shared" ca="1" si="8"/>
        <v>0</v>
      </c>
      <c r="R13" s="395">
        <f t="shared" ca="1" si="39"/>
        <v>0</v>
      </c>
      <c r="S13" s="395">
        <f t="shared" ca="1" si="40"/>
        <v>0</v>
      </c>
      <c r="T13" s="395">
        <f t="shared" ca="1" si="9"/>
        <v>0</v>
      </c>
      <c r="U13" s="395">
        <f t="shared" ca="1" si="10"/>
        <v>0</v>
      </c>
      <c r="V13" s="395">
        <f t="shared" ca="1" si="11"/>
        <v>0</v>
      </c>
      <c r="W13" s="395">
        <f t="shared" ca="1" si="12"/>
        <v>0</v>
      </c>
      <c r="X13" s="395">
        <f t="shared" ca="1" si="13"/>
        <v>0</v>
      </c>
      <c r="Y13" s="395">
        <f t="shared" ca="1" si="14"/>
        <v>0</v>
      </c>
      <c r="Z13" s="395">
        <f t="shared" ca="1" si="15"/>
        <v>0</v>
      </c>
      <c r="AA13" s="395">
        <f t="shared" ca="1" si="16"/>
        <v>0</v>
      </c>
      <c r="AB13" s="395">
        <f t="shared" ca="1" si="17"/>
        <v>0</v>
      </c>
      <c r="AC13" s="395">
        <f t="shared" ca="1" si="18"/>
        <v>0</v>
      </c>
      <c r="AD13" s="395">
        <f t="shared" ca="1" si="19"/>
        <v>0</v>
      </c>
      <c r="AE13" s="395">
        <f t="shared" ca="1" si="20"/>
        <v>0</v>
      </c>
      <c r="AF13" s="395">
        <f t="shared" ca="1" si="21"/>
        <v>0</v>
      </c>
      <c r="AG13" s="395">
        <f t="shared" ca="1" si="22"/>
        <v>0</v>
      </c>
      <c r="AH13" s="395">
        <f t="shared" ca="1" si="23"/>
        <v>0</v>
      </c>
      <c r="AI13" s="395">
        <f t="shared" ca="1" si="24"/>
        <v>0</v>
      </c>
      <c r="AJ13" s="395">
        <f t="shared" ca="1" si="25"/>
        <v>0</v>
      </c>
      <c r="AK13" s="395">
        <f t="shared" ca="1" si="26"/>
        <v>0</v>
      </c>
      <c r="AL13" s="395">
        <f t="shared" ca="1" si="27"/>
        <v>0</v>
      </c>
      <c r="AM13" s="395">
        <f t="shared" ca="1" si="28"/>
        <v>0</v>
      </c>
      <c r="AN13" s="395">
        <f t="shared" ca="1" si="29"/>
        <v>0</v>
      </c>
      <c r="AO13" s="395">
        <f t="shared" ca="1" si="30"/>
        <v>0</v>
      </c>
      <c r="AP13" s="395">
        <f t="shared" ca="1" si="31"/>
        <v>0</v>
      </c>
      <c r="AQ13" s="395">
        <f t="shared" ca="1" si="32"/>
        <v>0</v>
      </c>
      <c r="AR13" s="395">
        <f t="shared" ca="1" si="33"/>
        <v>0</v>
      </c>
      <c r="AS13" s="395">
        <f t="shared" ca="1" si="34"/>
        <v>0</v>
      </c>
      <c r="AT13" s="395">
        <f t="shared" ca="1" si="35"/>
        <v>0</v>
      </c>
      <c r="AU13" s="395">
        <f t="shared" ca="1" si="36"/>
        <v>0</v>
      </c>
      <c r="AV13" s="395">
        <f t="shared" ca="1" si="37"/>
        <v>0</v>
      </c>
      <c r="AW13" s="395">
        <f t="shared" ca="1" si="38"/>
        <v>0</v>
      </c>
    </row>
    <row r="14" spans="1:49" s="392" customFormat="1" ht="12" customHeight="1">
      <c r="A14" s="63">
        <f t="array" aca="1" ref="A14" ca="1">IF(C14&lt;&gt;0,SUM(($C$11:C14&lt;&gt;0)*1),"")</f>
        <v>4</v>
      </c>
      <c r="B14" s="393">
        <f ca="1">IF(ROWS($1:4)&gt;COUNT(Dong9),"",OFFSET(TH!C$1,SMALL(Dong9,ROWS($1:4)),))</f>
        <v>41918</v>
      </c>
      <c r="C14" s="393" t="str">
        <f ca="1">IF(ROWS($1:4)&gt;COUNT(Dong9),"",OFFSET(TH!D$1,SMALL(Dong9,ROWS($1:4)),))</f>
        <v>GBN</v>
      </c>
      <c r="D14" s="393">
        <f ca="1">IF(ROWS($1:4)&gt;COUNT(Dong9),"",OFFSET(TH!E$1,SMALL(Dong9,ROWS($1:4)),))</f>
        <v>41918</v>
      </c>
      <c r="E14" s="443" t="str">
        <f ca="1">IF(ROWS($1:4)&gt;COUNT(Dong9),"",OFFSET(TH!F$1,SMALL(Dong9,ROWS($1:4)),))</f>
        <v>Thanh toán CSHT - KCN Long Đức 15/09/14 - 15/09/15</v>
      </c>
      <c r="F14" s="444">
        <f ca="1">IF(ROWS($1:4)&gt;COUNT(Dong9),"",OFFSET(TH!I$1,SMALL(Dong9,ROWS($1:4)),))</f>
        <v>34408000</v>
      </c>
      <c r="G14" s="456" t="str">
        <f ca="1">IF(ROWS($1:4)&gt;COUNT(Dong9),"",OFFSET(TH!J$1,SMALL(Dong9,ROWS($1:4)),))</f>
        <v>331</v>
      </c>
      <c r="H14" s="456" t="str">
        <f ca="1">IF(ROWS($1:4)&gt;COUNT(Dong9),"",OFFSET(TH!K$1,SMALL(Dong9,ROWS($1:4)),))</f>
        <v>1121</v>
      </c>
      <c r="I14" s="63">
        <f t="shared" ca="1" si="0"/>
        <v>4</v>
      </c>
      <c r="J14" s="395">
        <f t="shared" ca="1" si="1"/>
        <v>0</v>
      </c>
      <c r="K14" s="395">
        <f t="shared" ca="1" si="2"/>
        <v>0</v>
      </c>
      <c r="L14" s="395">
        <f t="shared" ca="1" si="3"/>
        <v>0</v>
      </c>
      <c r="M14" s="395">
        <f t="shared" ca="1" si="4"/>
        <v>34408000</v>
      </c>
      <c r="N14" s="395">
        <f t="shared" ca="1" si="5"/>
        <v>0</v>
      </c>
      <c r="O14" s="395">
        <f t="shared" ca="1" si="6"/>
        <v>0</v>
      </c>
      <c r="P14" s="395">
        <f t="shared" ca="1" si="7"/>
        <v>0</v>
      </c>
      <c r="Q14" s="395">
        <f t="shared" ca="1" si="8"/>
        <v>0</v>
      </c>
      <c r="R14" s="395">
        <f t="shared" ca="1" si="39"/>
        <v>0</v>
      </c>
      <c r="S14" s="395">
        <f t="shared" ca="1" si="40"/>
        <v>0</v>
      </c>
      <c r="T14" s="395">
        <f t="shared" ca="1" si="9"/>
        <v>34408000</v>
      </c>
      <c r="U14" s="395">
        <f t="shared" ca="1" si="10"/>
        <v>0</v>
      </c>
      <c r="V14" s="395">
        <f t="shared" ca="1" si="11"/>
        <v>0</v>
      </c>
      <c r="W14" s="395">
        <f t="shared" ca="1" si="12"/>
        <v>0</v>
      </c>
      <c r="X14" s="395">
        <f t="shared" ca="1" si="13"/>
        <v>0</v>
      </c>
      <c r="Y14" s="395">
        <f t="shared" ca="1" si="14"/>
        <v>0</v>
      </c>
      <c r="Z14" s="395">
        <f t="shared" ca="1" si="15"/>
        <v>0</v>
      </c>
      <c r="AA14" s="395">
        <f t="shared" ca="1" si="16"/>
        <v>0</v>
      </c>
      <c r="AB14" s="395">
        <f t="shared" ca="1" si="17"/>
        <v>0</v>
      </c>
      <c r="AC14" s="395">
        <f t="shared" ca="1" si="18"/>
        <v>0</v>
      </c>
      <c r="AD14" s="395">
        <f t="shared" ca="1" si="19"/>
        <v>0</v>
      </c>
      <c r="AE14" s="395">
        <f t="shared" ca="1" si="20"/>
        <v>0</v>
      </c>
      <c r="AF14" s="395">
        <f t="shared" ca="1" si="21"/>
        <v>0</v>
      </c>
      <c r="AG14" s="395">
        <f t="shared" ca="1" si="22"/>
        <v>0</v>
      </c>
      <c r="AH14" s="395">
        <f t="shared" ca="1" si="23"/>
        <v>0</v>
      </c>
      <c r="AI14" s="395">
        <f t="shared" ca="1" si="24"/>
        <v>0</v>
      </c>
      <c r="AJ14" s="395">
        <f t="shared" ca="1" si="25"/>
        <v>0</v>
      </c>
      <c r="AK14" s="395">
        <f t="shared" ca="1" si="26"/>
        <v>0</v>
      </c>
      <c r="AL14" s="395">
        <f t="shared" ca="1" si="27"/>
        <v>0</v>
      </c>
      <c r="AM14" s="395">
        <f t="shared" ca="1" si="28"/>
        <v>0</v>
      </c>
      <c r="AN14" s="395">
        <f t="shared" ca="1" si="29"/>
        <v>0</v>
      </c>
      <c r="AO14" s="395">
        <f t="shared" ca="1" si="30"/>
        <v>0</v>
      </c>
      <c r="AP14" s="395">
        <f t="shared" ca="1" si="31"/>
        <v>0</v>
      </c>
      <c r="AQ14" s="395">
        <f t="shared" ca="1" si="32"/>
        <v>0</v>
      </c>
      <c r="AR14" s="395">
        <f t="shared" ca="1" si="33"/>
        <v>0</v>
      </c>
      <c r="AS14" s="395">
        <f t="shared" ca="1" si="34"/>
        <v>0</v>
      </c>
      <c r="AT14" s="395">
        <f t="shared" ca="1" si="35"/>
        <v>0</v>
      </c>
      <c r="AU14" s="395">
        <f t="shared" ca="1" si="36"/>
        <v>0</v>
      </c>
      <c r="AV14" s="395">
        <f t="shared" ca="1" si="37"/>
        <v>0</v>
      </c>
      <c r="AW14" s="395">
        <f t="shared" ca="1" si="38"/>
        <v>0</v>
      </c>
    </row>
    <row r="15" spans="1:49" s="392" customFormat="1" ht="12" customHeight="1">
      <c r="A15" s="63">
        <f t="array" aca="1" ref="A15" ca="1">IF(C15&lt;&gt;0,SUM(($C$11:C15&lt;&gt;0)*1),"")</f>
        <v>5</v>
      </c>
      <c r="B15" s="393">
        <f ca="1">IF(ROWS($1:5)&gt;COUNT(Dong9),"",OFFSET(TH!C$1,SMALL(Dong9,ROWS($1:5)),))</f>
        <v>41918</v>
      </c>
      <c r="C15" s="393" t="str">
        <f ca="1">IF(ROWS($1:5)&gt;COUNT(Dong9),"",OFFSET(TH!D$1,SMALL(Dong9,ROWS($1:5)),))</f>
        <v>GBN</v>
      </c>
      <c r="D15" s="393">
        <f ca="1">IF(ROWS($1:5)&gt;COUNT(Dong9),"",OFFSET(TH!E$1,SMALL(Dong9,ROWS($1:5)),))</f>
        <v>41918</v>
      </c>
      <c r="E15" s="443" t="str">
        <f ca="1">IF(ROWS($1:5)&gt;COUNT(Dong9),"",OFFSET(TH!F$1,SMALL(Dong9,ROWS($1:5)),))</f>
        <v xml:space="preserve">Phí chuyển tiền </v>
      </c>
      <c r="F15" s="444">
        <f ca="1">IF(ROWS($1:5)&gt;COUNT(Dong9),"",OFFSET(TH!I$1,SMALL(Dong9,ROWS($1:5)),))</f>
        <v>25000</v>
      </c>
      <c r="G15" s="456" t="str">
        <f ca="1">IF(ROWS($1:5)&gt;COUNT(Dong9),"",OFFSET(TH!J$1,SMALL(Dong9,ROWS($1:5)),))</f>
        <v>642</v>
      </c>
      <c r="H15" s="456" t="str">
        <f ca="1">IF(ROWS($1:5)&gt;COUNT(Dong9),"",OFFSET(TH!K$1,SMALL(Dong9,ROWS($1:5)),))</f>
        <v>1121</v>
      </c>
      <c r="I15" s="63">
        <f t="shared" ca="1" si="0"/>
        <v>5</v>
      </c>
      <c r="J15" s="395">
        <f t="shared" ca="1" si="1"/>
        <v>0</v>
      </c>
      <c r="K15" s="395">
        <f t="shared" ca="1" si="2"/>
        <v>0</v>
      </c>
      <c r="L15" s="395">
        <f t="shared" ca="1" si="3"/>
        <v>0</v>
      </c>
      <c r="M15" s="395">
        <f t="shared" ca="1" si="4"/>
        <v>25000</v>
      </c>
      <c r="N15" s="395">
        <f t="shared" ca="1" si="5"/>
        <v>0</v>
      </c>
      <c r="O15" s="395">
        <f t="shared" ca="1" si="6"/>
        <v>0</v>
      </c>
      <c r="P15" s="395">
        <f t="shared" ca="1" si="7"/>
        <v>0</v>
      </c>
      <c r="Q15" s="395">
        <f t="shared" ca="1" si="8"/>
        <v>0</v>
      </c>
      <c r="R15" s="395">
        <f t="shared" ca="1" si="39"/>
        <v>0</v>
      </c>
      <c r="S15" s="395">
        <f t="shared" ca="1" si="40"/>
        <v>0</v>
      </c>
      <c r="T15" s="395">
        <f t="shared" ca="1" si="9"/>
        <v>0</v>
      </c>
      <c r="U15" s="395">
        <f t="shared" ca="1" si="10"/>
        <v>0</v>
      </c>
      <c r="V15" s="395">
        <f t="shared" ca="1" si="11"/>
        <v>0</v>
      </c>
      <c r="W15" s="395">
        <f t="shared" ca="1" si="12"/>
        <v>0</v>
      </c>
      <c r="X15" s="395">
        <f t="shared" ca="1" si="13"/>
        <v>0</v>
      </c>
      <c r="Y15" s="395">
        <f t="shared" ca="1" si="14"/>
        <v>0</v>
      </c>
      <c r="Z15" s="395">
        <f t="shared" ca="1" si="15"/>
        <v>0</v>
      </c>
      <c r="AA15" s="395">
        <f t="shared" ca="1" si="16"/>
        <v>0</v>
      </c>
      <c r="AB15" s="395">
        <f t="shared" ca="1" si="17"/>
        <v>0</v>
      </c>
      <c r="AC15" s="395">
        <f t="shared" ca="1" si="18"/>
        <v>0</v>
      </c>
      <c r="AD15" s="395">
        <f t="shared" ca="1" si="19"/>
        <v>0</v>
      </c>
      <c r="AE15" s="395">
        <f t="shared" ca="1" si="20"/>
        <v>0</v>
      </c>
      <c r="AF15" s="395">
        <f t="shared" ca="1" si="21"/>
        <v>0</v>
      </c>
      <c r="AG15" s="395">
        <f t="shared" ca="1" si="22"/>
        <v>0</v>
      </c>
      <c r="AH15" s="395">
        <f t="shared" ca="1" si="23"/>
        <v>0</v>
      </c>
      <c r="AI15" s="395">
        <f t="shared" ca="1" si="24"/>
        <v>0</v>
      </c>
      <c r="AJ15" s="395">
        <f t="shared" ca="1" si="25"/>
        <v>0</v>
      </c>
      <c r="AK15" s="395">
        <f t="shared" ca="1" si="26"/>
        <v>0</v>
      </c>
      <c r="AL15" s="395">
        <f t="shared" ca="1" si="27"/>
        <v>0</v>
      </c>
      <c r="AM15" s="395">
        <f t="shared" ca="1" si="28"/>
        <v>0</v>
      </c>
      <c r="AN15" s="395">
        <f t="shared" ca="1" si="29"/>
        <v>25000</v>
      </c>
      <c r="AO15" s="395">
        <f t="shared" ca="1" si="30"/>
        <v>0</v>
      </c>
      <c r="AP15" s="395">
        <f t="shared" ca="1" si="31"/>
        <v>0</v>
      </c>
      <c r="AQ15" s="395">
        <f t="shared" ca="1" si="32"/>
        <v>0</v>
      </c>
      <c r="AR15" s="395">
        <f t="shared" ca="1" si="33"/>
        <v>0</v>
      </c>
      <c r="AS15" s="395">
        <f t="shared" ca="1" si="34"/>
        <v>0</v>
      </c>
      <c r="AT15" s="395">
        <f t="shared" ca="1" si="35"/>
        <v>0</v>
      </c>
      <c r="AU15" s="395">
        <f t="shared" ca="1" si="36"/>
        <v>0</v>
      </c>
      <c r="AV15" s="395">
        <f t="shared" ca="1" si="37"/>
        <v>0</v>
      </c>
      <c r="AW15" s="395">
        <f t="shared" ca="1" si="38"/>
        <v>0</v>
      </c>
    </row>
    <row r="16" spans="1:49" s="392" customFormat="1" ht="12" customHeight="1">
      <c r="A16" s="63">
        <f t="array" aca="1" ref="A16" ca="1">IF(C16&lt;&gt;0,SUM(($C$11:C16&lt;&gt;0)*1),"")</f>
        <v>6</v>
      </c>
      <c r="B16" s="393">
        <f ca="1">IF(ROWS($1:6)&gt;COUNT(Dong9),"",OFFSET(TH!C$1,SMALL(Dong9,ROWS($1:6)),))</f>
        <v>41918</v>
      </c>
      <c r="C16" s="393" t="str">
        <f ca="1">IF(ROWS($1:6)&gt;COUNT(Dong9),"",OFFSET(TH!D$1,SMALL(Dong9,ROWS($1:6)),))</f>
        <v>GBN</v>
      </c>
      <c r="D16" s="393">
        <f ca="1">IF(ROWS($1:6)&gt;COUNT(Dong9),"",OFFSET(TH!E$1,SMALL(Dong9,ROWS($1:6)),))</f>
        <v>41918</v>
      </c>
      <c r="E16" s="443" t="str">
        <f ca="1">IF(ROWS($1:6)&gt;COUNT(Dong9),"",OFFSET(TH!F$1,SMALL(Dong9,ROWS($1:6)),))</f>
        <v xml:space="preserve">VAT Phí chuyển tiền </v>
      </c>
      <c r="F16" s="444">
        <f ca="1">IF(ROWS($1:6)&gt;COUNT(Dong9),"",OFFSET(TH!I$1,SMALL(Dong9,ROWS($1:6)),))</f>
        <v>2500</v>
      </c>
      <c r="G16" s="456" t="str">
        <f ca="1">IF(ROWS($1:6)&gt;COUNT(Dong9),"",OFFSET(TH!J$1,SMALL(Dong9,ROWS($1:6)),))</f>
        <v>1331</v>
      </c>
      <c r="H16" s="456" t="str">
        <f ca="1">IF(ROWS($1:6)&gt;COUNT(Dong9),"",OFFSET(TH!K$1,SMALL(Dong9,ROWS($1:6)),))</f>
        <v>1121</v>
      </c>
      <c r="I16" s="63">
        <f t="shared" ca="1" si="0"/>
        <v>6</v>
      </c>
      <c r="J16" s="395">
        <f t="shared" ca="1" si="1"/>
        <v>0</v>
      </c>
      <c r="K16" s="395">
        <f t="shared" ca="1" si="2"/>
        <v>0</v>
      </c>
      <c r="L16" s="395">
        <f t="shared" ca="1" si="3"/>
        <v>0</v>
      </c>
      <c r="M16" s="395">
        <f t="shared" ca="1" si="4"/>
        <v>2500</v>
      </c>
      <c r="N16" s="395">
        <f t="shared" ca="1" si="5"/>
        <v>2500</v>
      </c>
      <c r="O16" s="395">
        <f t="shared" ca="1" si="6"/>
        <v>0</v>
      </c>
      <c r="P16" s="395">
        <f t="shared" ca="1" si="7"/>
        <v>0</v>
      </c>
      <c r="Q16" s="395">
        <f t="shared" ca="1" si="8"/>
        <v>0</v>
      </c>
      <c r="R16" s="395">
        <f t="shared" ca="1" si="39"/>
        <v>0</v>
      </c>
      <c r="S16" s="395">
        <f t="shared" ca="1" si="40"/>
        <v>0</v>
      </c>
      <c r="T16" s="395">
        <f t="shared" ca="1" si="9"/>
        <v>0</v>
      </c>
      <c r="U16" s="395">
        <f t="shared" ca="1" si="10"/>
        <v>0</v>
      </c>
      <c r="V16" s="395">
        <f t="shared" ca="1" si="11"/>
        <v>0</v>
      </c>
      <c r="W16" s="395">
        <f t="shared" ca="1" si="12"/>
        <v>0</v>
      </c>
      <c r="X16" s="395">
        <f t="shared" ca="1" si="13"/>
        <v>0</v>
      </c>
      <c r="Y16" s="395">
        <f t="shared" ca="1" si="14"/>
        <v>0</v>
      </c>
      <c r="Z16" s="395">
        <f t="shared" ca="1" si="15"/>
        <v>0</v>
      </c>
      <c r="AA16" s="395">
        <f t="shared" ca="1" si="16"/>
        <v>0</v>
      </c>
      <c r="AB16" s="395">
        <f t="shared" ca="1" si="17"/>
        <v>0</v>
      </c>
      <c r="AC16" s="395">
        <f t="shared" ca="1" si="18"/>
        <v>0</v>
      </c>
      <c r="AD16" s="395">
        <f t="shared" ca="1" si="19"/>
        <v>0</v>
      </c>
      <c r="AE16" s="395">
        <f t="shared" ca="1" si="20"/>
        <v>0</v>
      </c>
      <c r="AF16" s="395">
        <f t="shared" ca="1" si="21"/>
        <v>0</v>
      </c>
      <c r="AG16" s="395">
        <f t="shared" ca="1" si="22"/>
        <v>0</v>
      </c>
      <c r="AH16" s="395">
        <f t="shared" ca="1" si="23"/>
        <v>0</v>
      </c>
      <c r="AI16" s="395">
        <f t="shared" ca="1" si="24"/>
        <v>0</v>
      </c>
      <c r="AJ16" s="395">
        <f t="shared" ca="1" si="25"/>
        <v>0</v>
      </c>
      <c r="AK16" s="395">
        <f t="shared" ca="1" si="26"/>
        <v>0</v>
      </c>
      <c r="AL16" s="395">
        <f t="shared" ca="1" si="27"/>
        <v>0</v>
      </c>
      <c r="AM16" s="395">
        <f t="shared" ca="1" si="28"/>
        <v>0</v>
      </c>
      <c r="AN16" s="395">
        <f t="shared" ca="1" si="29"/>
        <v>0</v>
      </c>
      <c r="AO16" s="395">
        <f t="shared" ca="1" si="30"/>
        <v>0</v>
      </c>
      <c r="AP16" s="395">
        <f t="shared" ca="1" si="31"/>
        <v>0</v>
      </c>
      <c r="AQ16" s="395">
        <f t="shared" ca="1" si="32"/>
        <v>0</v>
      </c>
      <c r="AR16" s="395">
        <f t="shared" ca="1" si="33"/>
        <v>0</v>
      </c>
      <c r="AS16" s="395">
        <f t="shared" ca="1" si="34"/>
        <v>0</v>
      </c>
      <c r="AT16" s="395">
        <f t="shared" ca="1" si="35"/>
        <v>0</v>
      </c>
      <c r="AU16" s="395">
        <f t="shared" ca="1" si="36"/>
        <v>0</v>
      </c>
      <c r="AV16" s="395">
        <f t="shared" ca="1" si="37"/>
        <v>0</v>
      </c>
      <c r="AW16" s="395">
        <f t="shared" ca="1" si="38"/>
        <v>0</v>
      </c>
    </row>
    <row r="17" spans="1:49" s="392" customFormat="1" ht="12" customHeight="1">
      <c r="A17" s="63">
        <f t="array" aca="1" ref="A17" ca="1">IF(C17&lt;&gt;0,SUM(($C$11:C17&lt;&gt;0)*1),"")</f>
        <v>7</v>
      </c>
      <c r="B17" s="393">
        <f ca="1">IF(ROWS($1:7)&gt;COUNT(Dong9),"",OFFSET(TH!C$1,SMALL(Dong9,ROWS($1:7)),))</f>
        <v>41927</v>
      </c>
      <c r="C17" s="393" t="str">
        <f ca="1">IF(ROWS($1:7)&gt;COUNT(Dong9),"",OFFSET(TH!D$1,SMALL(Dong9,ROWS($1:7)),))</f>
        <v>CTGS</v>
      </c>
      <c r="D17" s="393">
        <f ca="1">IF(ROWS($1:7)&gt;COUNT(Dong9),"",OFFSET(TH!E$1,SMALL(Dong9,ROWS($1:7)),))</f>
        <v>41927</v>
      </c>
      <c r="E17" s="443" t="str">
        <f ca="1">IF(ROWS($1:7)&gt;COUNT(Dong9),"",OFFSET(TH!F$1,SMALL(Dong9,ROWS($1:7)),))</f>
        <v>Đá 0 x 4</v>
      </c>
      <c r="F17" s="444">
        <f ca="1">IF(ROWS($1:7)&gt;COUNT(Dong9),"",OFFSET(TH!I$1,SMALL(Dong9,ROWS($1:7)),))</f>
        <v>28000005</v>
      </c>
      <c r="G17" s="456" t="str">
        <f ca="1">IF(ROWS($1:7)&gt;COUNT(Dong9),"",OFFSET(TH!J$1,SMALL(Dong9,ROWS($1:7)),))</f>
        <v>2412</v>
      </c>
      <c r="H17" s="456" t="str">
        <f ca="1">IF(ROWS($1:7)&gt;COUNT(Dong9),"",OFFSET(TH!K$1,SMALL(Dong9,ROWS($1:7)),))</f>
        <v>331</v>
      </c>
      <c r="I17" s="63">
        <f t="shared" ca="1" si="0"/>
        <v>7</v>
      </c>
      <c r="J17" s="395">
        <f t="shared" ca="1" si="1"/>
        <v>0</v>
      </c>
      <c r="K17" s="395">
        <f t="shared" ca="1" si="2"/>
        <v>0</v>
      </c>
      <c r="L17" s="395">
        <f t="shared" ca="1" si="3"/>
        <v>0</v>
      </c>
      <c r="M17" s="395">
        <f t="shared" ca="1" si="4"/>
        <v>0</v>
      </c>
      <c r="N17" s="395">
        <f t="shared" ca="1" si="5"/>
        <v>0</v>
      </c>
      <c r="O17" s="395">
        <f t="shared" ca="1" si="6"/>
        <v>0</v>
      </c>
      <c r="P17" s="395">
        <f t="shared" ca="1" si="7"/>
        <v>0</v>
      </c>
      <c r="Q17" s="395">
        <f t="shared" ca="1" si="8"/>
        <v>0</v>
      </c>
      <c r="R17" s="395">
        <f t="shared" ca="1" si="39"/>
        <v>28000005</v>
      </c>
      <c r="S17" s="395">
        <f t="shared" ca="1" si="40"/>
        <v>0</v>
      </c>
      <c r="T17" s="395">
        <f t="shared" ca="1" si="9"/>
        <v>0</v>
      </c>
      <c r="U17" s="395">
        <f t="shared" ca="1" si="10"/>
        <v>28000005</v>
      </c>
      <c r="V17" s="395">
        <f t="shared" ca="1" si="11"/>
        <v>0</v>
      </c>
      <c r="W17" s="395">
        <f t="shared" ca="1" si="12"/>
        <v>0</v>
      </c>
      <c r="X17" s="395">
        <f t="shared" ca="1" si="13"/>
        <v>0</v>
      </c>
      <c r="Y17" s="395">
        <f t="shared" ca="1" si="14"/>
        <v>0</v>
      </c>
      <c r="Z17" s="395">
        <f t="shared" ca="1" si="15"/>
        <v>0</v>
      </c>
      <c r="AA17" s="395">
        <f t="shared" ca="1" si="16"/>
        <v>0</v>
      </c>
      <c r="AB17" s="395">
        <f t="shared" ca="1" si="17"/>
        <v>0</v>
      </c>
      <c r="AC17" s="395">
        <f t="shared" ca="1" si="18"/>
        <v>0</v>
      </c>
      <c r="AD17" s="395">
        <f t="shared" ca="1" si="19"/>
        <v>0</v>
      </c>
      <c r="AE17" s="395">
        <f t="shared" ca="1" si="20"/>
        <v>0</v>
      </c>
      <c r="AF17" s="395">
        <f t="shared" ca="1" si="21"/>
        <v>0</v>
      </c>
      <c r="AG17" s="395">
        <f t="shared" ca="1" si="22"/>
        <v>0</v>
      </c>
      <c r="AH17" s="395">
        <f t="shared" ca="1" si="23"/>
        <v>0</v>
      </c>
      <c r="AI17" s="395">
        <f t="shared" ca="1" si="24"/>
        <v>0</v>
      </c>
      <c r="AJ17" s="395">
        <f t="shared" ca="1" si="25"/>
        <v>0</v>
      </c>
      <c r="AK17" s="395">
        <f t="shared" ca="1" si="26"/>
        <v>0</v>
      </c>
      <c r="AL17" s="395">
        <f t="shared" ca="1" si="27"/>
        <v>0</v>
      </c>
      <c r="AM17" s="395">
        <f t="shared" ca="1" si="28"/>
        <v>0</v>
      </c>
      <c r="AN17" s="395">
        <f t="shared" ca="1" si="29"/>
        <v>0</v>
      </c>
      <c r="AO17" s="395">
        <f t="shared" ca="1" si="30"/>
        <v>0</v>
      </c>
      <c r="AP17" s="395">
        <f t="shared" ca="1" si="31"/>
        <v>0</v>
      </c>
      <c r="AQ17" s="395">
        <f t="shared" ca="1" si="32"/>
        <v>0</v>
      </c>
      <c r="AR17" s="395">
        <f t="shared" ca="1" si="33"/>
        <v>0</v>
      </c>
      <c r="AS17" s="395">
        <f t="shared" ca="1" si="34"/>
        <v>0</v>
      </c>
      <c r="AT17" s="395">
        <f t="shared" ca="1" si="35"/>
        <v>0</v>
      </c>
      <c r="AU17" s="395">
        <f t="shared" ca="1" si="36"/>
        <v>0</v>
      </c>
      <c r="AV17" s="395">
        <f t="shared" ca="1" si="37"/>
        <v>0</v>
      </c>
      <c r="AW17" s="395">
        <f t="shared" ca="1" si="38"/>
        <v>0</v>
      </c>
    </row>
    <row r="18" spans="1:49" s="392" customFormat="1" ht="12" customHeight="1">
      <c r="A18" s="63">
        <f t="array" aca="1" ref="A18" ca="1">IF(C18&lt;&gt;0,SUM(($C$11:C18&lt;&gt;0)*1),"")</f>
        <v>8</v>
      </c>
      <c r="B18" s="393">
        <f ca="1">IF(ROWS($1:8)&gt;COUNT(Dong9),"",OFFSET(TH!C$1,SMALL(Dong9,ROWS($1:8)),))</f>
        <v>41927</v>
      </c>
      <c r="C18" s="393" t="str">
        <f ca="1">IF(ROWS($1:8)&gt;COUNT(Dong9),"",OFFSET(TH!D$1,SMALL(Dong9,ROWS($1:8)),))</f>
        <v>CTGS</v>
      </c>
      <c r="D18" s="393">
        <f ca="1">IF(ROWS($1:8)&gt;COUNT(Dong9),"",OFFSET(TH!E$1,SMALL(Dong9,ROWS($1:8)),))</f>
        <v>41927</v>
      </c>
      <c r="E18" s="443" t="str">
        <f ca="1">IF(ROWS($1:8)&gt;COUNT(Dong9),"",OFFSET(TH!F$1,SMALL(Dong9,ROWS($1:8)),))</f>
        <v>VAT Đá 0 x 4</v>
      </c>
      <c r="F18" s="444">
        <f ca="1">IF(ROWS($1:8)&gt;COUNT(Dong9),"",OFFSET(TH!I$1,SMALL(Dong9,ROWS($1:8)),))</f>
        <v>2800000</v>
      </c>
      <c r="G18" s="456" t="str">
        <f ca="1">IF(ROWS($1:8)&gt;COUNT(Dong9),"",OFFSET(TH!J$1,SMALL(Dong9,ROWS($1:8)),))</f>
        <v>1331</v>
      </c>
      <c r="H18" s="456" t="str">
        <f ca="1">IF(ROWS($1:8)&gt;COUNT(Dong9),"",OFFSET(TH!K$1,SMALL(Dong9,ROWS($1:8)),))</f>
        <v>331</v>
      </c>
      <c r="I18" s="63">
        <f t="shared" ca="1" si="0"/>
        <v>8</v>
      </c>
      <c r="J18" s="395">
        <f t="shared" ca="1" si="1"/>
        <v>0</v>
      </c>
      <c r="K18" s="395">
        <f t="shared" ca="1" si="2"/>
        <v>0</v>
      </c>
      <c r="L18" s="395">
        <f t="shared" ca="1" si="3"/>
        <v>0</v>
      </c>
      <c r="M18" s="395">
        <f t="shared" ca="1" si="4"/>
        <v>0</v>
      </c>
      <c r="N18" s="395">
        <f t="shared" ca="1" si="5"/>
        <v>2800000</v>
      </c>
      <c r="O18" s="395">
        <f t="shared" ca="1" si="6"/>
        <v>0</v>
      </c>
      <c r="P18" s="395">
        <f t="shared" ca="1" si="7"/>
        <v>0</v>
      </c>
      <c r="Q18" s="395">
        <f t="shared" ca="1" si="8"/>
        <v>0</v>
      </c>
      <c r="R18" s="395">
        <f t="shared" ca="1" si="39"/>
        <v>0</v>
      </c>
      <c r="S18" s="395">
        <f t="shared" ca="1" si="40"/>
        <v>0</v>
      </c>
      <c r="T18" s="395">
        <f t="shared" ca="1" si="9"/>
        <v>0</v>
      </c>
      <c r="U18" s="395">
        <f t="shared" ca="1" si="10"/>
        <v>2800000</v>
      </c>
      <c r="V18" s="395">
        <f t="shared" ca="1" si="11"/>
        <v>0</v>
      </c>
      <c r="W18" s="395">
        <f t="shared" ca="1" si="12"/>
        <v>0</v>
      </c>
      <c r="X18" s="395">
        <f t="shared" ca="1" si="13"/>
        <v>0</v>
      </c>
      <c r="Y18" s="395">
        <f t="shared" ca="1" si="14"/>
        <v>0</v>
      </c>
      <c r="Z18" s="395">
        <f t="shared" ca="1" si="15"/>
        <v>0</v>
      </c>
      <c r="AA18" s="395">
        <f t="shared" ca="1" si="16"/>
        <v>0</v>
      </c>
      <c r="AB18" s="395">
        <f t="shared" ca="1" si="17"/>
        <v>0</v>
      </c>
      <c r="AC18" s="395">
        <f t="shared" ca="1" si="18"/>
        <v>0</v>
      </c>
      <c r="AD18" s="395">
        <f t="shared" ca="1" si="19"/>
        <v>0</v>
      </c>
      <c r="AE18" s="395">
        <f t="shared" ca="1" si="20"/>
        <v>0</v>
      </c>
      <c r="AF18" s="395">
        <f t="shared" ca="1" si="21"/>
        <v>0</v>
      </c>
      <c r="AG18" s="395">
        <f t="shared" ca="1" si="22"/>
        <v>0</v>
      </c>
      <c r="AH18" s="395">
        <f t="shared" ca="1" si="23"/>
        <v>0</v>
      </c>
      <c r="AI18" s="395">
        <f t="shared" ca="1" si="24"/>
        <v>0</v>
      </c>
      <c r="AJ18" s="395">
        <f t="shared" ca="1" si="25"/>
        <v>0</v>
      </c>
      <c r="AK18" s="395">
        <f t="shared" ca="1" si="26"/>
        <v>0</v>
      </c>
      <c r="AL18" s="395">
        <f t="shared" ca="1" si="27"/>
        <v>0</v>
      </c>
      <c r="AM18" s="395">
        <f t="shared" ca="1" si="28"/>
        <v>0</v>
      </c>
      <c r="AN18" s="395">
        <f t="shared" ca="1" si="29"/>
        <v>0</v>
      </c>
      <c r="AO18" s="395">
        <f t="shared" ca="1" si="30"/>
        <v>0</v>
      </c>
      <c r="AP18" s="395">
        <f t="shared" ca="1" si="31"/>
        <v>0</v>
      </c>
      <c r="AQ18" s="395">
        <f t="shared" ca="1" si="32"/>
        <v>0</v>
      </c>
      <c r="AR18" s="395">
        <f t="shared" ca="1" si="33"/>
        <v>0</v>
      </c>
      <c r="AS18" s="395">
        <f t="shared" ca="1" si="34"/>
        <v>0</v>
      </c>
      <c r="AT18" s="395">
        <f t="shared" ca="1" si="35"/>
        <v>0</v>
      </c>
      <c r="AU18" s="395">
        <f t="shared" ca="1" si="36"/>
        <v>0</v>
      </c>
      <c r="AV18" s="395">
        <f t="shared" ca="1" si="37"/>
        <v>0</v>
      </c>
      <c r="AW18" s="395">
        <f t="shared" ca="1" si="38"/>
        <v>0</v>
      </c>
    </row>
    <row r="19" spans="1:49" s="392" customFormat="1" ht="12" customHeight="1">
      <c r="A19" s="63">
        <f t="array" aca="1" ref="A19" ca="1">IF(C19&lt;&gt;0,SUM(($C$11:C19&lt;&gt;0)*1),"")</f>
        <v>9</v>
      </c>
      <c r="B19" s="393">
        <f ca="1">IF(ROWS($1:9)&gt;COUNT(Dong9),"",OFFSET(TH!C$1,SMALL(Dong9,ROWS($1:9)),))</f>
        <v>41928</v>
      </c>
      <c r="C19" s="393" t="str">
        <f ca="1">IF(ROWS($1:9)&gt;COUNT(Dong9),"",OFFSET(TH!D$1,SMALL(Dong9,ROWS($1:9)),))</f>
        <v>GBN</v>
      </c>
      <c r="D19" s="393">
        <f ca="1">IF(ROWS($1:9)&gt;COUNT(Dong9),"",OFFSET(TH!E$1,SMALL(Dong9,ROWS($1:9)),))</f>
        <v>41928</v>
      </c>
      <c r="E19" s="443" t="str">
        <f ca="1">IF(ROWS($1:9)&gt;COUNT(Dong9),"",OFFSET(TH!F$1,SMALL(Dong9,ROWS($1:9)),))</f>
        <v>Ứng tiền cọc betong IBS</v>
      </c>
      <c r="F19" s="444">
        <f ca="1">IF(ROWS($1:9)&gt;COUNT(Dong9),"",OFFSET(TH!I$1,SMALL(Dong9,ROWS($1:9)),))</f>
        <v>323824160</v>
      </c>
      <c r="G19" s="456" t="str">
        <f ca="1">IF(ROWS($1:9)&gt;COUNT(Dong9),"",OFFSET(TH!J$1,SMALL(Dong9,ROWS($1:9)),))</f>
        <v>331</v>
      </c>
      <c r="H19" s="456" t="str">
        <f ca="1">IF(ROWS($1:9)&gt;COUNT(Dong9),"",OFFSET(TH!K$1,SMALL(Dong9,ROWS($1:9)),))</f>
        <v>1121</v>
      </c>
      <c r="I19" s="63">
        <f t="shared" ca="1" si="0"/>
        <v>9</v>
      </c>
      <c r="J19" s="395">
        <f t="shared" ca="1" si="1"/>
        <v>0</v>
      </c>
      <c r="K19" s="395">
        <f t="shared" ca="1" si="2"/>
        <v>0</v>
      </c>
      <c r="L19" s="395">
        <f t="shared" ca="1" si="3"/>
        <v>0</v>
      </c>
      <c r="M19" s="395">
        <f t="shared" ca="1" si="4"/>
        <v>323824160</v>
      </c>
      <c r="N19" s="395">
        <f t="shared" ca="1" si="5"/>
        <v>0</v>
      </c>
      <c r="O19" s="395">
        <f t="shared" ca="1" si="6"/>
        <v>0</v>
      </c>
      <c r="P19" s="395">
        <f t="shared" ca="1" si="7"/>
        <v>0</v>
      </c>
      <c r="Q19" s="395">
        <f t="shared" ca="1" si="8"/>
        <v>0</v>
      </c>
      <c r="R19" s="395">
        <f t="shared" ca="1" si="39"/>
        <v>0</v>
      </c>
      <c r="S19" s="395">
        <f t="shared" ca="1" si="40"/>
        <v>0</v>
      </c>
      <c r="T19" s="395">
        <f t="shared" ca="1" si="9"/>
        <v>323824160</v>
      </c>
      <c r="U19" s="395">
        <f t="shared" ca="1" si="10"/>
        <v>0</v>
      </c>
      <c r="V19" s="395">
        <f t="shared" ca="1" si="11"/>
        <v>0</v>
      </c>
      <c r="W19" s="395">
        <f t="shared" ca="1" si="12"/>
        <v>0</v>
      </c>
      <c r="X19" s="395">
        <f t="shared" ca="1" si="13"/>
        <v>0</v>
      </c>
      <c r="Y19" s="395">
        <f t="shared" ca="1" si="14"/>
        <v>0</v>
      </c>
      <c r="Z19" s="395">
        <f t="shared" ca="1" si="15"/>
        <v>0</v>
      </c>
      <c r="AA19" s="395">
        <f t="shared" ca="1" si="16"/>
        <v>0</v>
      </c>
      <c r="AB19" s="395">
        <f t="shared" ca="1" si="17"/>
        <v>0</v>
      </c>
      <c r="AC19" s="395">
        <f t="shared" ca="1" si="18"/>
        <v>0</v>
      </c>
      <c r="AD19" s="395">
        <f t="shared" ca="1" si="19"/>
        <v>0</v>
      </c>
      <c r="AE19" s="395">
        <f t="shared" ca="1" si="20"/>
        <v>0</v>
      </c>
      <c r="AF19" s="395">
        <f t="shared" ca="1" si="21"/>
        <v>0</v>
      </c>
      <c r="AG19" s="395">
        <f t="shared" ca="1" si="22"/>
        <v>0</v>
      </c>
      <c r="AH19" s="395">
        <f t="shared" ca="1" si="23"/>
        <v>0</v>
      </c>
      <c r="AI19" s="395">
        <f t="shared" ca="1" si="24"/>
        <v>0</v>
      </c>
      <c r="AJ19" s="395">
        <f t="shared" ca="1" si="25"/>
        <v>0</v>
      </c>
      <c r="AK19" s="395">
        <f t="shared" ca="1" si="26"/>
        <v>0</v>
      </c>
      <c r="AL19" s="395">
        <f t="shared" ca="1" si="27"/>
        <v>0</v>
      </c>
      <c r="AM19" s="395">
        <f t="shared" ca="1" si="28"/>
        <v>0</v>
      </c>
      <c r="AN19" s="395">
        <f t="shared" ca="1" si="29"/>
        <v>0</v>
      </c>
      <c r="AO19" s="395">
        <f t="shared" ca="1" si="30"/>
        <v>0</v>
      </c>
      <c r="AP19" s="395">
        <f t="shared" ca="1" si="31"/>
        <v>0</v>
      </c>
      <c r="AQ19" s="395">
        <f t="shared" ca="1" si="32"/>
        <v>0</v>
      </c>
      <c r="AR19" s="395">
        <f t="shared" ca="1" si="33"/>
        <v>0</v>
      </c>
      <c r="AS19" s="395">
        <f t="shared" ca="1" si="34"/>
        <v>0</v>
      </c>
      <c r="AT19" s="395">
        <f t="shared" ca="1" si="35"/>
        <v>0</v>
      </c>
      <c r="AU19" s="395">
        <f t="shared" ca="1" si="36"/>
        <v>0</v>
      </c>
      <c r="AV19" s="395">
        <f t="shared" ca="1" si="37"/>
        <v>0</v>
      </c>
      <c r="AW19" s="395">
        <f t="shared" ca="1" si="38"/>
        <v>0</v>
      </c>
    </row>
    <row r="20" spans="1:49" s="392" customFormat="1" ht="12" customHeight="1">
      <c r="A20" s="63">
        <f t="array" aca="1" ref="A20" ca="1">IF(C20&lt;&gt;0,SUM(($C$11:C20&lt;&gt;0)*1),"")</f>
        <v>10</v>
      </c>
      <c r="B20" s="393">
        <f ca="1">IF(ROWS($1:10)&gt;COUNT(Dong9),"",OFFSET(TH!C$1,SMALL(Dong9,ROWS($1:10)),))</f>
        <v>41928</v>
      </c>
      <c r="C20" s="393" t="str">
        <f ca="1">IF(ROWS($1:10)&gt;COUNT(Dong9),"",OFFSET(TH!D$1,SMALL(Dong9,ROWS($1:10)),))</f>
        <v>GBN</v>
      </c>
      <c r="D20" s="393">
        <f ca="1">IF(ROWS($1:10)&gt;COUNT(Dong9),"",OFFSET(TH!E$1,SMALL(Dong9,ROWS($1:10)),))</f>
        <v>41928</v>
      </c>
      <c r="E20" s="443" t="str">
        <f ca="1">IF(ROWS($1:10)&gt;COUNT(Dong9),"",OFFSET(TH!F$1,SMALL(Dong9,ROWS($1:10)),))</f>
        <v xml:space="preserve">Phí chuyển tiền </v>
      </c>
      <c r="F20" s="444">
        <f ca="1">IF(ROWS($1:10)&gt;COUNT(Dong9),"",OFFSET(TH!I$1,SMALL(Dong9,ROWS($1:10)),))</f>
        <v>97147</v>
      </c>
      <c r="G20" s="456" t="str">
        <f ca="1">IF(ROWS($1:10)&gt;COUNT(Dong9),"",OFFSET(TH!J$1,SMALL(Dong9,ROWS($1:10)),))</f>
        <v>642</v>
      </c>
      <c r="H20" s="456" t="str">
        <f ca="1">IF(ROWS($1:10)&gt;COUNT(Dong9),"",OFFSET(TH!K$1,SMALL(Dong9,ROWS($1:10)),))</f>
        <v>1121</v>
      </c>
      <c r="I20" s="63">
        <f t="shared" ca="1" si="0"/>
        <v>10</v>
      </c>
      <c r="J20" s="395">
        <f t="shared" ca="1" si="1"/>
        <v>0</v>
      </c>
      <c r="K20" s="395">
        <f t="shared" ca="1" si="2"/>
        <v>0</v>
      </c>
      <c r="L20" s="395">
        <f t="shared" ca="1" si="3"/>
        <v>0</v>
      </c>
      <c r="M20" s="395">
        <f t="shared" ca="1" si="4"/>
        <v>97147</v>
      </c>
      <c r="N20" s="395">
        <f t="shared" ca="1" si="5"/>
        <v>0</v>
      </c>
      <c r="O20" s="395">
        <f t="shared" ca="1" si="6"/>
        <v>0</v>
      </c>
      <c r="P20" s="395">
        <f t="shared" ca="1" si="7"/>
        <v>0</v>
      </c>
      <c r="Q20" s="395">
        <f t="shared" ca="1" si="8"/>
        <v>0</v>
      </c>
      <c r="R20" s="395">
        <f t="shared" ca="1" si="39"/>
        <v>0</v>
      </c>
      <c r="S20" s="395">
        <f t="shared" ca="1" si="40"/>
        <v>0</v>
      </c>
      <c r="T20" s="395">
        <f t="shared" ca="1" si="9"/>
        <v>0</v>
      </c>
      <c r="U20" s="395">
        <f t="shared" ca="1" si="10"/>
        <v>0</v>
      </c>
      <c r="V20" s="395">
        <f t="shared" ca="1" si="11"/>
        <v>0</v>
      </c>
      <c r="W20" s="395">
        <f t="shared" ca="1" si="12"/>
        <v>0</v>
      </c>
      <c r="X20" s="395">
        <f t="shared" ca="1" si="13"/>
        <v>0</v>
      </c>
      <c r="Y20" s="395">
        <f t="shared" ca="1" si="14"/>
        <v>0</v>
      </c>
      <c r="Z20" s="395">
        <f t="shared" ca="1" si="15"/>
        <v>0</v>
      </c>
      <c r="AA20" s="395">
        <f t="shared" ca="1" si="16"/>
        <v>0</v>
      </c>
      <c r="AB20" s="395">
        <f t="shared" ca="1" si="17"/>
        <v>0</v>
      </c>
      <c r="AC20" s="395">
        <f t="shared" ca="1" si="18"/>
        <v>0</v>
      </c>
      <c r="AD20" s="395">
        <f t="shared" ca="1" si="19"/>
        <v>0</v>
      </c>
      <c r="AE20" s="395">
        <f t="shared" ca="1" si="20"/>
        <v>0</v>
      </c>
      <c r="AF20" s="395">
        <f t="shared" ca="1" si="21"/>
        <v>0</v>
      </c>
      <c r="AG20" s="395">
        <f t="shared" ca="1" si="22"/>
        <v>0</v>
      </c>
      <c r="AH20" s="395">
        <f t="shared" ca="1" si="23"/>
        <v>0</v>
      </c>
      <c r="AI20" s="395">
        <f t="shared" ca="1" si="24"/>
        <v>0</v>
      </c>
      <c r="AJ20" s="395">
        <f t="shared" ca="1" si="25"/>
        <v>0</v>
      </c>
      <c r="AK20" s="395">
        <f t="shared" ca="1" si="26"/>
        <v>0</v>
      </c>
      <c r="AL20" s="395">
        <f t="shared" ca="1" si="27"/>
        <v>0</v>
      </c>
      <c r="AM20" s="395">
        <f t="shared" ca="1" si="28"/>
        <v>0</v>
      </c>
      <c r="AN20" s="395">
        <f t="shared" ca="1" si="29"/>
        <v>97147</v>
      </c>
      <c r="AO20" s="395">
        <f t="shared" ca="1" si="30"/>
        <v>0</v>
      </c>
      <c r="AP20" s="395">
        <f t="shared" ca="1" si="31"/>
        <v>0</v>
      </c>
      <c r="AQ20" s="395">
        <f t="shared" ca="1" si="32"/>
        <v>0</v>
      </c>
      <c r="AR20" s="395">
        <f t="shared" ca="1" si="33"/>
        <v>0</v>
      </c>
      <c r="AS20" s="395">
        <f t="shared" ca="1" si="34"/>
        <v>0</v>
      </c>
      <c r="AT20" s="395">
        <f t="shared" ca="1" si="35"/>
        <v>0</v>
      </c>
      <c r="AU20" s="395">
        <f t="shared" ca="1" si="36"/>
        <v>0</v>
      </c>
      <c r="AV20" s="395">
        <f t="shared" ca="1" si="37"/>
        <v>0</v>
      </c>
      <c r="AW20" s="395">
        <f t="shared" ca="1" si="38"/>
        <v>0</v>
      </c>
    </row>
    <row r="21" spans="1:49" s="392" customFormat="1" ht="12" customHeight="1">
      <c r="A21" s="63">
        <f t="array" aca="1" ref="A21" ca="1">IF(C21&lt;&gt;0,SUM(($C$11:C21&lt;&gt;0)*1),"")</f>
        <v>11</v>
      </c>
      <c r="B21" s="393">
        <f ca="1">IF(ROWS($1:11)&gt;COUNT(Dong9),"",OFFSET(TH!C$1,SMALL(Dong9,ROWS($1:11)),))</f>
        <v>41928</v>
      </c>
      <c r="C21" s="393" t="str">
        <f ca="1">IF(ROWS($1:11)&gt;COUNT(Dong9),"",OFFSET(TH!D$1,SMALL(Dong9,ROWS($1:11)),))</f>
        <v>GBN</v>
      </c>
      <c r="D21" s="393">
        <f ca="1">IF(ROWS($1:11)&gt;COUNT(Dong9),"",OFFSET(TH!E$1,SMALL(Dong9,ROWS($1:11)),))</f>
        <v>41928</v>
      </c>
      <c r="E21" s="443" t="str">
        <f ca="1">IF(ROWS($1:11)&gt;COUNT(Dong9),"",OFFSET(TH!F$1,SMALL(Dong9,ROWS($1:11)),))</f>
        <v xml:space="preserve">VAT Phí chuyển tiền </v>
      </c>
      <c r="F21" s="444">
        <f ca="1">IF(ROWS($1:11)&gt;COUNT(Dong9),"",OFFSET(TH!I$1,SMALL(Dong9,ROWS($1:11)),))</f>
        <v>9715</v>
      </c>
      <c r="G21" s="456" t="str">
        <f ca="1">IF(ROWS($1:11)&gt;COUNT(Dong9),"",OFFSET(TH!J$1,SMALL(Dong9,ROWS($1:11)),))</f>
        <v>1331</v>
      </c>
      <c r="H21" s="456" t="str">
        <f ca="1">IF(ROWS($1:11)&gt;COUNT(Dong9),"",OFFSET(TH!K$1,SMALL(Dong9,ROWS($1:11)),))</f>
        <v>1121</v>
      </c>
      <c r="I21" s="63">
        <f t="shared" ca="1" si="0"/>
        <v>11</v>
      </c>
      <c r="J21" s="395">
        <f t="shared" ca="1" si="1"/>
        <v>0</v>
      </c>
      <c r="K21" s="395">
        <f t="shared" ca="1" si="2"/>
        <v>0</v>
      </c>
      <c r="L21" s="395">
        <f t="shared" ca="1" si="3"/>
        <v>0</v>
      </c>
      <c r="M21" s="395">
        <f t="shared" ca="1" si="4"/>
        <v>9715</v>
      </c>
      <c r="N21" s="395">
        <f t="shared" ca="1" si="5"/>
        <v>9715</v>
      </c>
      <c r="O21" s="395">
        <f t="shared" ca="1" si="6"/>
        <v>0</v>
      </c>
      <c r="P21" s="395">
        <f t="shared" ca="1" si="7"/>
        <v>0</v>
      </c>
      <c r="Q21" s="395">
        <f t="shared" ca="1" si="8"/>
        <v>0</v>
      </c>
      <c r="R21" s="395">
        <f t="shared" ca="1" si="39"/>
        <v>0</v>
      </c>
      <c r="S21" s="395">
        <f t="shared" ca="1" si="40"/>
        <v>0</v>
      </c>
      <c r="T21" s="395">
        <f t="shared" ca="1" si="9"/>
        <v>0</v>
      </c>
      <c r="U21" s="395">
        <f t="shared" ca="1" si="10"/>
        <v>0</v>
      </c>
      <c r="V21" s="395">
        <f t="shared" ca="1" si="11"/>
        <v>0</v>
      </c>
      <c r="W21" s="395">
        <f t="shared" ca="1" si="12"/>
        <v>0</v>
      </c>
      <c r="X21" s="395">
        <f t="shared" ca="1" si="13"/>
        <v>0</v>
      </c>
      <c r="Y21" s="395">
        <f t="shared" ca="1" si="14"/>
        <v>0</v>
      </c>
      <c r="Z21" s="395">
        <f t="shared" ca="1" si="15"/>
        <v>0</v>
      </c>
      <c r="AA21" s="395">
        <f t="shared" ca="1" si="16"/>
        <v>0</v>
      </c>
      <c r="AB21" s="395">
        <f t="shared" ca="1" si="17"/>
        <v>0</v>
      </c>
      <c r="AC21" s="395">
        <f t="shared" ca="1" si="18"/>
        <v>0</v>
      </c>
      <c r="AD21" s="395">
        <f t="shared" ca="1" si="19"/>
        <v>0</v>
      </c>
      <c r="AE21" s="395">
        <f t="shared" ca="1" si="20"/>
        <v>0</v>
      </c>
      <c r="AF21" s="395">
        <f t="shared" ca="1" si="21"/>
        <v>0</v>
      </c>
      <c r="AG21" s="395">
        <f t="shared" ca="1" si="22"/>
        <v>0</v>
      </c>
      <c r="AH21" s="395">
        <f t="shared" ca="1" si="23"/>
        <v>0</v>
      </c>
      <c r="AI21" s="395">
        <f t="shared" ca="1" si="24"/>
        <v>0</v>
      </c>
      <c r="AJ21" s="395">
        <f t="shared" ca="1" si="25"/>
        <v>0</v>
      </c>
      <c r="AK21" s="395">
        <f t="shared" ca="1" si="26"/>
        <v>0</v>
      </c>
      <c r="AL21" s="395">
        <f t="shared" ca="1" si="27"/>
        <v>0</v>
      </c>
      <c r="AM21" s="395">
        <f t="shared" ca="1" si="28"/>
        <v>0</v>
      </c>
      <c r="AN21" s="395">
        <f t="shared" ca="1" si="29"/>
        <v>0</v>
      </c>
      <c r="AO21" s="395">
        <f t="shared" ca="1" si="30"/>
        <v>0</v>
      </c>
      <c r="AP21" s="395">
        <f t="shared" ca="1" si="31"/>
        <v>0</v>
      </c>
      <c r="AQ21" s="395">
        <f t="shared" ca="1" si="32"/>
        <v>0</v>
      </c>
      <c r="AR21" s="395">
        <f t="shared" ca="1" si="33"/>
        <v>0</v>
      </c>
      <c r="AS21" s="395">
        <f t="shared" ca="1" si="34"/>
        <v>0</v>
      </c>
      <c r="AT21" s="395">
        <f t="shared" ca="1" si="35"/>
        <v>0</v>
      </c>
      <c r="AU21" s="395">
        <f t="shared" ca="1" si="36"/>
        <v>0</v>
      </c>
      <c r="AV21" s="395">
        <f t="shared" ca="1" si="37"/>
        <v>0</v>
      </c>
      <c r="AW21" s="395">
        <f t="shared" ca="1" si="38"/>
        <v>0</v>
      </c>
    </row>
    <row r="22" spans="1:49" s="392" customFormat="1" ht="12" customHeight="1">
      <c r="A22" s="63">
        <f t="array" aca="1" ref="A22" ca="1">IF(C22&lt;&gt;0,SUM(($C$11:C22&lt;&gt;0)*1),"")</f>
        <v>12</v>
      </c>
      <c r="B22" s="393">
        <f ca="1">IF(ROWS($1:12)&gt;COUNT(Dong9),"",OFFSET(TH!C$1,SMALL(Dong9,ROWS($1:12)),))</f>
        <v>41929</v>
      </c>
      <c r="C22" s="393" t="str">
        <f ca="1">IF(ROWS($1:12)&gt;COUNT(Dong9),"",OFFSET(TH!D$1,SMALL(Dong9,ROWS($1:12)),))</f>
        <v>C01</v>
      </c>
      <c r="D22" s="393">
        <f ca="1">IF(ROWS($1:12)&gt;COUNT(Dong9),"",OFFSET(TH!E$1,SMALL(Dong9,ROWS($1:12)),))</f>
        <v>41929</v>
      </c>
      <c r="E22" s="443" t="str">
        <f ca="1">IF(ROWS($1:12)&gt;COUNT(Dong9),"",OFFSET(TH!F$1,SMALL(Dong9,ROWS($1:12)),))</f>
        <v>Hoàn trả tiền mượn chuyển khoản</v>
      </c>
      <c r="F22" s="444">
        <f ca="1">IF(ROWS($1:12)&gt;COUNT(Dong9),"",OFFSET(TH!I$1,SMALL(Dong9,ROWS($1:12)),))</f>
        <v>25000000</v>
      </c>
      <c r="G22" s="456" t="str">
        <f ca="1">IF(ROWS($1:12)&gt;COUNT(Dong9),"",OFFSET(TH!J$1,SMALL(Dong9,ROWS($1:12)),))</f>
        <v>3388</v>
      </c>
      <c r="H22" s="456" t="str">
        <f ca="1">IF(ROWS($1:12)&gt;COUNT(Dong9),"",OFFSET(TH!K$1,SMALL(Dong9,ROWS($1:12)),))</f>
        <v>1111</v>
      </c>
      <c r="I22" s="63">
        <f t="shared" ca="1" si="0"/>
        <v>12</v>
      </c>
      <c r="J22" s="395">
        <f t="shared" ca="1" si="1"/>
        <v>0</v>
      </c>
      <c r="K22" s="395">
        <f t="shared" ca="1" si="2"/>
        <v>25000000</v>
      </c>
      <c r="L22" s="395">
        <f t="shared" ca="1" si="3"/>
        <v>0</v>
      </c>
      <c r="M22" s="395">
        <f t="shared" ca="1" si="4"/>
        <v>0</v>
      </c>
      <c r="N22" s="395">
        <f t="shared" ca="1" si="5"/>
        <v>0</v>
      </c>
      <c r="O22" s="395">
        <f t="shared" ca="1" si="6"/>
        <v>0</v>
      </c>
      <c r="P22" s="395">
        <f t="shared" ca="1" si="7"/>
        <v>0</v>
      </c>
      <c r="Q22" s="395">
        <f t="shared" ca="1" si="8"/>
        <v>0</v>
      </c>
      <c r="R22" s="395">
        <f t="shared" ca="1" si="39"/>
        <v>0</v>
      </c>
      <c r="S22" s="395">
        <f t="shared" ca="1" si="40"/>
        <v>0</v>
      </c>
      <c r="T22" s="395">
        <f t="shared" ca="1" si="9"/>
        <v>0</v>
      </c>
      <c r="U22" s="395">
        <f t="shared" ca="1" si="10"/>
        <v>0</v>
      </c>
      <c r="V22" s="395">
        <f t="shared" ca="1" si="11"/>
        <v>0</v>
      </c>
      <c r="W22" s="395">
        <f t="shared" ca="1" si="12"/>
        <v>0</v>
      </c>
      <c r="X22" s="395">
        <f t="shared" ca="1" si="13"/>
        <v>0</v>
      </c>
      <c r="Y22" s="395">
        <f t="shared" ca="1" si="14"/>
        <v>0</v>
      </c>
      <c r="Z22" s="395">
        <f t="shared" ca="1" si="15"/>
        <v>25000000</v>
      </c>
      <c r="AA22" s="395">
        <f t="shared" ca="1" si="16"/>
        <v>0</v>
      </c>
      <c r="AB22" s="395">
        <f t="shared" ca="1" si="17"/>
        <v>0</v>
      </c>
      <c r="AC22" s="395">
        <f t="shared" ca="1" si="18"/>
        <v>0</v>
      </c>
      <c r="AD22" s="395">
        <f t="shared" ca="1" si="19"/>
        <v>0</v>
      </c>
      <c r="AE22" s="395">
        <f t="shared" ca="1" si="20"/>
        <v>0</v>
      </c>
      <c r="AF22" s="395">
        <f t="shared" ca="1" si="21"/>
        <v>0</v>
      </c>
      <c r="AG22" s="395">
        <f t="shared" ca="1" si="22"/>
        <v>0</v>
      </c>
      <c r="AH22" s="395">
        <f t="shared" ca="1" si="23"/>
        <v>0</v>
      </c>
      <c r="AI22" s="395">
        <f t="shared" ca="1" si="24"/>
        <v>0</v>
      </c>
      <c r="AJ22" s="395">
        <f t="shared" ca="1" si="25"/>
        <v>0</v>
      </c>
      <c r="AK22" s="395">
        <f t="shared" ca="1" si="26"/>
        <v>0</v>
      </c>
      <c r="AL22" s="395">
        <f t="shared" ca="1" si="27"/>
        <v>0</v>
      </c>
      <c r="AM22" s="395">
        <f t="shared" ca="1" si="28"/>
        <v>0</v>
      </c>
      <c r="AN22" s="395">
        <f t="shared" ca="1" si="29"/>
        <v>0</v>
      </c>
      <c r="AO22" s="395">
        <f t="shared" ca="1" si="30"/>
        <v>0</v>
      </c>
      <c r="AP22" s="395">
        <f t="shared" ca="1" si="31"/>
        <v>0</v>
      </c>
      <c r="AQ22" s="395">
        <f t="shared" ca="1" si="32"/>
        <v>0</v>
      </c>
      <c r="AR22" s="395">
        <f t="shared" ca="1" si="33"/>
        <v>0</v>
      </c>
      <c r="AS22" s="395">
        <f t="shared" ca="1" si="34"/>
        <v>0</v>
      </c>
      <c r="AT22" s="395">
        <f t="shared" ca="1" si="35"/>
        <v>0</v>
      </c>
      <c r="AU22" s="395">
        <f t="shared" ca="1" si="36"/>
        <v>0</v>
      </c>
      <c r="AV22" s="395">
        <f t="shared" ca="1" si="37"/>
        <v>0</v>
      </c>
      <c r="AW22" s="395">
        <f t="shared" ca="1" si="38"/>
        <v>0</v>
      </c>
    </row>
    <row r="23" spans="1:49" s="392" customFormat="1" ht="12" customHeight="1">
      <c r="A23" s="63">
        <f t="array" aca="1" ref="A23" ca="1">IF(C23&lt;&gt;0,SUM(($C$11:C23&lt;&gt;0)*1),"")</f>
        <v>13</v>
      </c>
      <c r="B23" s="393">
        <f ca="1">IF(ROWS($1:13)&gt;COUNT(Dong9),"",OFFSET(TH!C$1,SMALL(Dong9,ROWS($1:13)),))</f>
        <v>41929</v>
      </c>
      <c r="C23" s="393" t="str">
        <f ca="1">IF(ROWS($1:13)&gt;COUNT(Dong9),"",OFFSET(TH!D$1,SMALL(Dong9,ROWS($1:13)),))</f>
        <v>GBC</v>
      </c>
      <c r="D23" s="393">
        <f ca="1">IF(ROWS($1:13)&gt;COUNT(Dong9),"",OFFSET(TH!E$1,SMALL(Dong9,ROWS($1:13)),))</f>
        <v>41929</v>
      </c>
      <c r="E23" s="443" t="str">
        <f ca="1">IF(ROWS($1:13)&gt;COUNT(Dong9),"",OFFSET(TH!F$1,SMALL(Dong9,ROWS($1:13)),))</f>
        <v>An Lạc LA- Ứng vốn</v>
      </c>
      <c r="F23" s="444">
        <f ca="1">IF(ROWS($1:13)&gt;COUNT(Dong9),"",OFFSET(TH!I$1,SMALL(Dong9,ROWS($1:13)),))</f>
        <v>25000000</v>
      </c>
      <c r="G23" s="456" t="str">
        <f ca="1">IF(ROWS($1:13)&gt;COUNT(Dong9),"",OFFSET(TH!J$1,SMALL(Dong9,ROWS($1:13)),))</f>
        <v>1121</v>
      </c>
      <c r="H23" s="456" t="str">
        <f ca="1">IF(ROWS($1:13)&gt;COUNT(Dong9),"",OFFSET(TH!K$1,SMALL(Dong9,ROWS($1:13)),))</f>
        <v>3388</v>
      </c>
      <c r="I23" s="63">
        <f t="shared" ca="1" si="0"/>
        <v>13</v>
      </c>
      <c r="J23" s="395">
        <f t="shared" ca="1" si="1"/>
        <v>0</v>
      </c>
      <c r="K23" s="395">
        <f t="shared" ca="1" si="2"/>
        <v>0</v>
      </c>
      <c r="L23" s="395">
        <f t="shared" ca="1" si="3"/>
        <v>25000000</v>
      </c>
      <c r="M23" s="395">
        <f t="shared" ca="1" si="4"/>
        <v>0</v>
      </c>
      <c r="N23" s="395">
        <f t="shared" ca="1" si="5"/>
        <v>0</v>
      </c>
      <c r="O23" s="395">
        <f t="shared" ca="1" si="6"/>
        <v>0</v>
      </c>
      <c r="P23" s="395">
        <f t="shared" ca="1" si="7"/>
        <v>0</v>
      </c>
      <c r="Q23" s="395">
        <f t="shared" ca="1" si="8"/>
        <v>0</v>
      </c>
      <c r="R23" s="395">
        <f t="shared" ca="1" si="39"/>
        <v>0</v>
      </c>
      <c r="S23" s="395">
        <f t="shared" ca="1" si="40"/>
        <v>0</v>
      </c>
      <c r="T23" s="395">
        <f t="shared" ca="1" si="9"/>
        <v>0</v>
      </c>
      <c r="U23" s="395">
        <f t="shared" ca="1" si="10"/>
        <v>0</v>
      </c>
      <c r="V23" s="395">
        <f t="shared" ca="1" si="11"/>
        <v>0</v>
      </c>
      <c r="W23" s="395">
        <f t="shared" ca="1" si="12"/>
        <v>0</v>
      </c>
      <c r="X23" s="395">
        <f t="shared" ca="1" si="13"/>
        <v>0</v>
      </c>
      <c r="Y23" s="395">
        <f t="shared" ca="1" si="14"/>
        <v>0</v>
      </c>
      <c r="Z23" s="395">
        <f t="shared" ca="1" si="15"/>
        <v>0</v>
      </c>
      <c r="AA23" s="395">
        <f t="shared" ca="1" si="16"/>
        <v>25000000</v>
      </c>
      <c r="AB23" s="395">
        <f t="shared" ca="1" si="17"/>
        <v>0</v>
      </c>
      <c r="AC23" s="395">
        <f t="shared" ca="1" si="18"/>
        <v>0</v>
      </c>
      <c r="AD23" s="395">
        <f t="shared" ca="1" si="19"/>
        <v>0</v>
      </c>
      <c r="AE23" s="395">
        <f t="shared" ca="1" si="20"/>
        <v>0</v>
      </c>
      <c r="AF23" s="395">
        <f t="shared" ca="1" si="21"/>
        <v>0</v>
      </c>
      <c r="AG23" s="395">
        <f t="shared" ca="1" si="22"/>
        <v>0</v>
      </c>
      <c r="AH23" s="395">
        <f t="shared" ca="1" si="23"/>
        <v>0</v>
      </c>
      <c r="AI23" s="395">
        <f t="shared" ca="1" si="24"/>
        <v>0</v>
      </c>
      <c r="AJ23" s="395">
        <f t="shared" ca="1" si="25"/>
        <v>0</v>
      </c>
      <c r="AK23" s="395">
        <f t="shared" ca="1" si="26"/>
        <v>0</v>
      </c>
      <c r="AL23" s="395">
        <f t="shared" ca="1" si="27"/>
        <v>0</v>
      </c>
      <c r="AM23" s="395">
        <f t="shared" ca="1" si="28"/>
        <v>0</v>
      </c>
      <c r="AN23" s="395">
        <f t="shared" ca="1" si="29"/>
        <v>0</v>
      </c>
      <c r="AO23" s="395">
        <f t="shared" ca="1" si="30"/>
        <v>0</v>
      </c>
      <c r="AP23" s="395">
        <f t="shared" ca="1" si="31"/>
        <v>0</v>
      </c>
      <c r="AQ23" s="395">
        <f t="shared" ca="1" si="32"/>
        <v>0</v>
      </c>
      <c r="AR23" s="395">
        <f t="shared" ca="1" si="33"/>
        <v>0</v>
      </c>
      <c r="AS23" s="395">
        <f t="shared" ca="1" si="34"/>
        <v>0</v>
      </c>
      <c r="AT23" s="395">
        <f t="shared" ca="1" si="35"/>
        <v>0</v>
      </c>
      <c r="AU23" s="395">
        <f t="shared" ca="1" si="36"/>
        <v>0</v>
      </c>
      <c r="AV23" s="395">
        <f t="shared" ca="1" si="37"/>
        <v>0</v>
      </c>
      <c r="AW23" s="395">
        <f t="shared" ca="1" si="38"/>
        <v>0</v>
      </c>
    </row>
    <row r="24" spans="1:49" s="392" customFormat="1" ht="12" customHeight="1">
      <c r="A24" s="63">
        <f t="array" aca="1" ref="A24" ca="1">IF(C24&lt;&gt;0,SUM(($C$11:C24&lt;&gt;0)*1),"")</f>
        <v>14</v>
      </c>
      <c r="B24" s="393">
        <f ca="1">IF(ROWS($1:14)&gt;COUNT(Dong9),"",OFFSET(TH!C$1,SMALL(Dong9,ROWS($1:14)),))</f>
        <v>41932</v>
      </c>
      <c r="C24" s="393" t="str">
        <f ca="1">IF(ROWS($1:14)&gt;COUNT(Dong9),"",OFFSET(TH!D$1,SMALL(Dong9,ROWS($1:14)),))</f>
        <v>GBN</v>
      </c>
      <c r="D24" s="393">
        <f ca="1">IF(ROWS($1:14)&gt;COUNT(Dong9),"",OFFSET(TH!E$1,SMALL(Dong9,ROWS($1:14)),))</f>
        <v>41932</v>
      </c>
      <c r="E24" s="443" t="str">
        <f ca="1">IF(ROWS($1:14)&gt;COUNT(Dong9),"",OFFSET(TH!F$1,SMALL(Dong9,ROWS($1:14)),))</f>
        <v>Lãi vay KU 1402LDS201401630</v>
      </c>
      <c r="F24" s="444">
        <f ca="1">IF(ROWS($1:14)&gt;COUNT(Dong9),"",OFFSET(TH!I$1,SMALL(Dong9,ROWS($1:14)),))</f>
        <v>8333333</v>
      </c>
      <c r="G24" s="456" t="str">
        <f ca="1">IF(ROWS($1:14)&gt;COUNT(Dong9),"",OFFSET(TH!J$1,SMALL(Dong9,ROWS($1:14)),))</f>
        <v>635</v>
      </c>
      <c r="H24" s="456" t="str">
        <f ca="1">IF(ROWS($1:14)&gt;COUNT(Dong9),"",OFFSET(TH!K$1,SMALL(Dong9,ROWS($1:14)),))</f>
        <v>1121</v>
      </c>
      <c r="I24" s="63">
        <f t="shared" ca="1" si="0"/>
        <v>14</v>
      </c>
      <c r="J24" s="395">
        <f t="shared" ca="1" si="1"/>
        <v>0</v>
      </c>
      <c r="K24" s="395">
        <f t="shared" ca="1" si="2"/>
        <v>0</v>
      </c>
      <c r="L24" s="395">
        <f t="shared" ca="1" si="3"/>
        <v>0</v>
      </c>
      <c r="M24" s="395">
        <f t="shared" ca="1" si="4"/>
        <v>8333333</v>
      </c>
      <c r="N24" s="395">
        <f t="shared" ca="1" si="5"/>
        <v>0</v>
      </c>
      <c r="O24" s="395">
        <f t="shared" ca="1" si="6"/>
        <v>0</v>
      </c>
      <c r="P24" s="395">
        <f t="shared" ca="1" si="7"/>
        <v>0</v>
      </c>
      <c r="Q24" s="395">
        <f t="shared" ca="1" si="8"/>
        <v>0</v>
      </c>
      <c r="R24" s="395">
        <f t="shared" ca="1" si="39"/>
        <v>0</v>
      </c>
      <c r="S24" s="395">
        <f t="shared" ca="1" si="40"/>
        <v>0</v>
      </c>
      <c r="T24" s="395">
        <f t="shared" ca="1" si="9"/>
        <v>0</v>
      </c>
      <c r="U24" s="395">
        <f t="shared" ca="1" si="10"/>
        <v>0</v>
      </c>
      <c r="V24" s="395">
        <f t="shared" ca="1" si="11"/>
        <v>0</v>
      </c>
      <c r="W24" s="395">
        <f t="shared" ca="1" si="12"/>
        <v>0</v>
      </c>
      <c r="X24" s="395">
        <f t="shared" ca="1" si="13"/>
        <v>0</v>
      </c>
      <c r="Y24" s="395">
        <f t="shared" ca="1" si="14"/>
        <v>0</v>
      </c>
      <c r="Z24" s="395">
        <f t="shared" ca="1" si="15"/>
        <v>0</v>
      </c>
      <c r="AA24" s="395">
        <f t="shared" ca="1" si="16"/>
        <v>0</v>
      </c>
      <c r="AB24" s="395">
        <f t="shared" ca="1" si="17"/>
        <v>0</v>
      </c>
      <c r="AC24" s="395">
        <f t="shared" ca="1" si="18"/>
        <v>0</v>
      </c>
      <c r="AD24" s="395">
        <f t="shared" ca="1" si="19"/>
        <v>0</v>
      </c>
      <c r="AE24" s="395">
        <f t="shared" ca="1" si="20"/>
        <v>0</v>
      </c>
      <c r="AF24" s="395">
        <f t="shared" ca="1" si="21"/>
        <v>0</v>
      </c>
      <c r="AG24" s="395">
        <f t="shared" ca="1" si="22"/>
        <v>0</v>
      </c>
      <c r="AH24" s="395">
        <f t="shared" ca="1" si="23"/>
        <v>0</v>
      </c>
      <c r="AI24" s="395">
        <f t="shared" ca="1" si="24"/>
        <v>0</v>
      </c>
      <c r="AJ24" s="395">
        <f t="shared" ca="1" si="25"/>
        <v>0</v>
      </c>
      <c r="AK24" s="395">
        <f t="shared" ca="1" si="26"/>
        <v>0</v>
      </c>
      <c r="AL24" s="395">
        <f t="shared" ca="1" si="27"/>
        <v>8333333</v>
      </c>
      <c r="AM24" s="395">
        <f t="shared" ca="1" si="28"/>
        <v>0</v>
      </c>
      <c r="AN24" s="395">
        <f t="shared" ca="1" si="29"/>
        <v>0</v>
      </c>
      <c r="AO24" s="395">
        <f t="shared" ca="1" si="30"/>
        <v>0</v>
      </c>
      <c r="AP24" s="395">
        <f t="shared" ca="1" si="31"/>
        <v>0</v>
      </c>
      <c r="AQ24" s="395">
        <f t="shared" ca="1" si="32"/>
        <v>0</v>
      </c>
      <c r="AR24" s="395">
        <f t="shared" ca="1" si="33"/>
        <v>0</v>
      </c>
      <c r="AS24" s="395">
        <f t="shared" ca="1" si="34"/>
        <v>0</v>
      </c>
      <c r="AT24" s="395">
        <f t="shared" ca="1" si="35"/>
        <v>0</v>
      </c>
      <c r="AU24" s="395">
        <f t="shared" ca="1" si="36"/>
        <v>0</v>
      </c>
      <c r="AV24" s="395">
        <f t="shared" ca="1" si="37"/>
        <v>0</v>
      </c>
      <c r="AW24" s="395">
        <f t="shared" ca="1" si="38"/>
        <v>0</v>
      </c>
    </row>
    <row r="25" spans="1:49" s="392" customFormat="1" ht="12" customHeight="1">
      <c r="A25" s="63">
        <f t="array" aca="1" ref="A25" ca="1">IF(C25&lt;&gt;0,SUM(($C$11:C25&lt;&gt;0)*1),"")</f>
        <v>15</v>
      </c>
      <c r="B25" s="393">
        <f ca="1">IF(ROWS($1:15)&gt;COUNT(Dong9),"",OFFSET(TH!C$1,SMALL(Dong9,ROWS($1:15)),))</f>
        <v>41933</v>
      </c>
      <c r="C25" s="393" t="str">
        <f ca="1">IF(ROWS($1:15)&gt;COUNT(Dong9),"",OFFSET(TH!D$1,SMALL(Dong9,ROWS($1:15)),))</f>
        <v>CTGS</v>
      </c>
      <c r="D25" s="393">
        <f ca="1">IF(ROWS($1:15)&gt;COUNT(Dong9),"",OFFSET(TH!E$1,SMALL(Dong9,ROWS($1:15)),))</f>
        <v>41933</v>
      </c>
      <c r="E25" s="443" t="str">
        <f ca="1">IF(ROWS($1:15)&gt;COUNT(Dong9),"",OFFSET(TH!F$1,SMALL(Dong9,ROWS($1:15)),))</f>
        <v>Cọc bêtong</v>
      </c>
      <c r="F25" s="444">
        <f ca="1">IF(ROWS($1:15)&gt;COUNT(Dong9),"",OFFSET(TH!I$1,SMALL(Dong9,ROWS($1:15)),))</f>
        <v>262727273</v>
      </c>
      <c r="G25" s="456" t="str">
        <f ca="1">IF(ROWS($1:15)&gt;COUNT(Dong9),"",OFFSET(TH!J$1,SMALL(Dong9,ROWS($1:15)),))</f>
        <v>2412</v>
      </c>
      <c r="H25" s="456" t="str">
        <f ca="1">IF(ROWS($1:15)&gt;COUNT(Dong9),"",OFFSET(TH!K$1,SMALL(Dong9,ROWS($1:15)),))</f>
        <v>331</v>
      </c>
      <c r="I25" s="63">
        <f t="shared" ca="1" si="0"/>
        <v>15</v>
      </c>
      <c r="J25" s="395">
        <f t="shared" ca="1" si="1"/>
        <v>0</v>
      </c>
      <c r="K25" s="395">
        <f t="shared" ca="1" si="2"/>
        <v>0</v>
      </c>
      <c r="L25" s="395">
        <f t="shared" ca="1" si="3"/>
        <v>0</v>
      </c>
      <c r="M25" s="395">
        <f t="shared" ca="1" si="4"/>
        <v>0</v>
      </c>
      <c r="N25" s="395">
        <f t="shared" ca="1" si="5"/>
        <v>0</v>
      </c>
      <c r="O25" s="395">
        <f t="shared" ca="1" si="6"/>
        <v>0</v>
      </c>
      <c r="P25" s="395">
        <f t="shared" ca="1" si="7"/>
        <v>0</v>
      </c>
      <c r="Q25" s="395">
        <f t="shared" ca="1" si="8"/>
        <v>0</v>
      </c>
      <c r="R25" s="395">
        <f t="shared" ca="1" si="39"/>
        <v>262727273</v>
      </c>
      <c r="S25" s="395">
        <f t="shared" ca="1" si="40"/>
        <v>0</v>
      </c>
      <c r="T25" s="395">
        <f t="shared" ca="1" si="9"/>
        <v>0</v>
      </c>
      <c r="U25" s="395">
        <f t="shared" ca="1" si="10"/>
        <v>262727273</v>
      </c>
      <c r="V25" s="395">
        <f t="shared" ca="1" si="11"/>
        <v>0</v>
      </c>
      <c r="W25" s="395">
        <f t="shared" ca="1" si="12"/>
        <v>0</v>
      </c>
      <c r="X25" s="395">
        <f t="shared" ca="1" si="13"/>
        <v>0</v>
      </c>
      <c r="Y25" s="395">
        <f t="shared" ca="1" si="14"/>
        <v>0</v>
      </c>
      <c r="Z25" s="395">
        <f t="shared" ca="1" si="15"/>
        <v>0</v>
      </c>
      <c r="AA25" s="395">
        <f t="shared" ca="1" si="16"/>
        <v>0</v>
      </c>
      <c r="AB25" s="395">
        <f t="shared" ca="1" si="17"/>
        <v>0</v>
      </c>
      <c r="AC25" s="395">
        <f t="shared" ca="1" si="18"/>
        <v>0</v>
      </c>
      <c r="AD25" s="395">
        <f t="shared" ca="1" si="19"/>
        <v>0</v>
      </c>
      <c r="AE25" s="395">
        <f t="shared" ca="1" si="20"/>
        <v>0</v>
      </c>
      <c r="AF25" s="395">
        <f t="shared" ca="1" si="21"/>
        <v>0</v>
      </c>
      <c r="AG25" s="395">
        <f t="shared" ca="1" si="22"/>
        <v>0</v>
      </c>
      <c r="AH25" s="395">
        <f t="shared" ca="1" si="23"/>
        <v>0</v>
      </c>
      <c r="AI25" s="395">
        <f t="shared" ca="1" si="24"/>
        <v>0</v>
      </c>
      <c r="AJ25" s="395">
        <f t="shared" ca="1" si="25"/>
        <v>0</v>
      </c>
      <c r="AK25" s="395">
        <f t="shared" ca="1" si="26"/>
        <v>0</v>
      </c>
      <c r="AL25" s="395">
        <f t="shared" ca="1" si="27"/>
        <v>0</v>
      </c>
      <c r="AM25" s="395">
        <f t="shared" ca="1" si="28"/>
        <v>0</v>
      </c>
      <c r="AN25" s="395">
        <f t="shared" ca="1" si="29"/>
        <v>0</v>
      </c>
      <c r="AO25" s="395">
        <f t="shared" ca="1" si="30"/>
        <v>0</v>
      </c>
      <c r="AP25" s="395">
        <f t="shared" ca="1" si="31"/>
        <v>0</v>
      </c>
      <c r="AQ25" s="395">
        <f t="shared" ca="1" si="32"/>
        <v>0</v>
      </c>
      <c r="AR25" s="395">
        <f t="shared" ca="1" si="33"/>
        <v>0</v>
      </c>
      <c r="AS25" s="395">
        <f t="shared" ca="1" si="34"/>
        <v>0</v>
      </c>
      <c r="AT25" s="395">
        <f t="shared" ca="1" si="35"/>
        <v>0</v>
      </c>
      <c r="AU25" s="395">
        <f t="shared" ca="1" si="36"/>
        <v>0</v>
      </c>
      <c r="AV25" s="395">
        <f t="shared" ca="1" si="37"/>
        <v>0</v>
      </c>
      <c r="AW25" s="395">
        <f t="shared" ca="1" si="38"/>
        <v>0</v>
      </c>
    </row>
    <row r="26" spans="1:49" s="392" customFormat="1" ht="12" customHeight="1">
      <c r="A26" s="63">
        <f t="array" aca="1" ref="A26" ca="1">IF(C26&lt;&gt;0,SUM(($C$11:C26&lt;&gt;0)*1),"")</f>
        <v>16</v>
      </c>
      <c r="B26" s="393">
        <f ca="1">IF(ROWS($1:16)&gt;COUNT(Dong9),"",OFFSET(TH!C$1,SMALL(Dong9,ROWS($1:16)),))</f>
        <v>41933</v>
      </c>
      <c r="C26" s="393" t="str">
        <f ca="1">IF(ROWS($1:16)&gt;COUNT(Dong9),"",OFFSET(TH!D$1,SMALL(Dong9,ROWS($1:16)),))</f>
        <v>CTGS</v>
      </c>
      <c r="D26" s="393">
        <f ca="1">IF(ROWS($1:16)&gt;COUNT(Dong9),"",OFFSET(TH!E$1,SMALL(Dong9,ROWS($1:16)),))</f>
        <v>41933</v>
      </c>
      <c r="E26" s="443" t="str">
        <f ca="1">IF(ROWS($1:16)&gt;COUNT(Dong9),"",OFFSET(TH!F$1,SMALL(Dong9,ROWS($1:16)),))</f>
        <v>VAT Cọc bêtong</v>
      </c>
      <c r="F26" s="444">
        <f ca="1">IF(ROWS($1:16)&gt;COUNT(Dong9),"",OFFSET(TH!I$1,SMALL(Dong9,ROWS($1:16)),))</f>
        <v>26272727</v>
      </c>
      <c r="G26" s="456" t="str">
        <f ca="1">IF(ROWS($1:16)&gt;COUNT(Dong9),"",OFFSET(TH!J$1,SMALL(Dong9,ROWS($1:16)),))</f>
        <v>1331</v>
      </c>
      <c r="H26" s="456" t="str">
        <f ca="1">IF(ROWS($1:16)&gt;COUNT(Dong9),"",OFFSET(TH!K$1,SMALL(Dong9,ROWS($1:16)),))</f>
        <v>331</v>
      </c>
      <c r="I26" s="63">
        <f t="shared" ca="1" si="0"/>
        <v>16</v>
      </c>
      <c r="J26" s="395">
        <f t="shared" ca="1" si="1"/>
        <v>0</v>
      </c>
      <c r="K26" s="395">
        <f t="shared" ca="1" si="2"/>
        <v>0</v>
      </c>
      <c r="L26" s="395">
        <f t="shared" ca="1" si="3"/>
        <v>0</v>
      </c>
      <c r="M26" s="395">
        <f t="shared" ca="1" si="4"/>
        <v>0</v>
      </c>
      <c r="N26" s="395">
        <f t="shared" ca="1" si="5"/>
        <v>26272727</v>
      </c>
      <c r="O26" s="395">
        <f t="shared" ca="1" si="6"/>
        <v>0</v>
      </c>
      <c r="P26" s="395">
        <f t="shared" ca="1" si="7"/>
        <v>0</v>
      </c>
      <c r="Q26" s="395">
        <f t="shared" ca="1" si="8"/>
        <v>0</v>
      </c>
      <c r="R26" s="395">
        <f t="shared" ca="1" si="39"/>
        <v>0</v>
      </c>
      <c r="S26" s="395">
        <f t="shared" ca="1" si="40"/>
        <v>0</v>
      </c>
      <c r="T26" s="395">
        <f t="shared" ca="1" si="9"/>
        <v>0</v>
      </c>
      <c r="U26" s="395">
        <f t="shared" ca="1" si="10"/>
        <v>26272727</v>
      </c>
      <c r="V26" s="395">
        <f t="shared" ca="1" si="11"/>
        <v>0</v>
      </c>
      <c r="W26" s="395">
        <f t="shared" ca="1" si="12"/>
        <v>0</v>
      </c>
      <c r="X26" s="395">
        <f t="shared" ca="1" si="13"/>
        <v>0</v>
      </c>
      <c r="Y26" s="395">
        <f t="shared" ca="1" si="14"/>
        <v>0</v>
      </c>
      <c r="Z26" s="395">
        <f t="shared" ca="1" si="15"/>
        <v>0</v>
      </c>
      <c r="AA26" s="395">
        <f t="shared" ca="1" si="16"/>
        <v>0</v>
      </c>
      <c r="AB26" s="395">
        <f t="shared" ca="1" si="17"/>
        <v>0</v>
      </c>
      <c r="AC26" s="395">
        <f t="shared" ca="1" si="18"/>
        <v>0</v>
      </c>
      <c r="AD26" s="395">
        <f t="shared" ca="1" si="19"/>
        <v>0</v>
      </c>
      <c r="AE26" s="395">
        <f t="shared" ca="1" si="20"/>
        <v>0</v>
      </c>
      <c r="AF26" s="395">
        <f t="shared" ca="1" si="21"/>
        <v>0</v>
      </c>
      <c r="AG26" s="395">
        <f t="shared" ca="1" si="22"/>
        <v>0</v>
      </c>
      <c r="AH26" s="395">
        <f t="shared" ca="1" si="23"/>
        <v>0</v>
      </c>
      <c r="AI26" s="395">
        <f t="shared" ca="1" si="24"/>
        <v>0</v>
      </c>
      <c r="AJ26" s="395">
        <f t="shared" ca="1" si="25"/>
        <v>0</v>
      </c>
      <c r="AK26" s="395">
        <f t="shared" ca="1" si="26"/>
        <v>0</v>
      </c>
      <c r="AL26" s="395">
        <f t="shared" ca="1" si="27"/>
        <v>0</v>
      </c>
      <c r="AM26" s="395">
        <f t="shared" ca="1" si="28"/>
        <v>0</v>
      </c>
      <c r="AN26" s="395">
        <f t="shared" ca="1" si="29"/>
        <v>0</v>
      </c>
      <c r="AO26" s="395">
        <f t="shared" ca="1" si="30"/>
        <v>0</v>
      </c>
      <c r="AP26" s="395">
        <f t="shared" ca="1" si="31"/>
        <v>0</v>
      </c>
      <c r="AQ26" s="395">
        <f t="shared" ca="1" si="32"/>
        <v>0</v>
      </c>
      <c r="AR26" s="395">
        <f t="shared" ca="1" si="33"/>
        <v>0</v>
      </c>
      <c r="AS26" s="395">
        <f t="shared" ca="1" si="34"/>
        <v>0</v>
      </c>
      <c r="AT26" s="395">
        <f t="shared" ca="1" si="35"/>
        <v>0</v>
      </c>
      <c r="AU26" s="395">
        <f t="shared" ca="1" si="36"/>
        <v>0</v>
      </c>
      <c r="AV26" s="395">
        <f t="shared" ca="1" si="37"/>
        <v>0</v>
      </c>
      <c r="AW26" s="395">
        <f t="shared" ca="1" si="38"/>
        <v>0</v>
      </c>
    </row>
    <row r="27" spans="1:49" s="392" customFormat="1" ht="12" customHeight="1">
      <c r="A27" s="63">
        <f t="array" aca="1" ref="A27" ca="1">IF(C27&lt;&gt;0,SUM(($C$11:C27&lt;&gt;0)*1),"")</f>
        <v>17</v>
      </c>
      <c r="B27" s="393">
        <f ca="1">IF(ROWS($1:17)&gt;COUNT(Dong9),"",OFFSET(TH!C$1,SMALL(Dong9,ROWS($1:17)),))</f>
        <v>41934</v>
      </c>
      <c r="C27" s="393" t="str">
        <f ca="1">IF(ROWS($1:17)&gt;COUNT(Dong9),"",OFFSET(TH!D$1,SMALL(Dong9,ROWS($1:17)),))</f>
        <v>CTGS</v>
      </c>
      <c r="D27" s="393">
        <f ca="1">IF(ROWS($1:17)&gt;COUNT(Dong9),"",OFFSET(TH!E$1,SMALL(Dong9,ROWS($1:17)),))</f>
        <v>41934</v>
      </c>
      <c r="E27" s="443" t="str">
        <f ca="1">IF(ROWS($1:17)&gt;COUNT(Dong9),"",OFFSET(TH!F$1,SMALL(Dong9,ROWS($1:17)),))</f>
        <v>Phí hạ tầng - KCN Long Đức 15/09/14 - 15/09/15</v>
      </c>
      <c r="F27" s="444">
        <f ca="1">IF(ROWS($1:17)&gt;COUNT(Dong9),"",OFFSET(TH!I$1,SMALL(Dong9,ROWS($1:17)),))</f>
        <v>31280000</v>
      </c>
      <c r="G27" s="456" t="str">
        <f ca="1">IF(ROWS($1:17)&gt;COUNT(Dong9),"",OFFSET(TH!J$1,SMALL(Dong9,ROWS($1:17)),))</f>
        <v>642</v>
      </c>
      <c r="H27" s="456" t="str">
        <f ca="1">IF(ROWS($1:17)&gt;COUNT(Dong9),"",OFFSET(TH!K$1,SMALL(Dong9,ROWS($1:17)),))</f>
        <v>331</v>
      </c>
      <c r="I27" s="63">
        <f t="shared" ca="1" si="0"/>
        <v>17</v>
      </c>
      <c r="J27" s="395">
        <f t="shared" ca="1" si="1"/>
        <v>0</v>
      </c>
      <c r="K27" s="395">
        <f t="shared" ca="1" si="2"/>
        <v>0</v>
      </c>
      <c r="L27" s="395">
        <f t="shared" ca="1" si="3"/>
        <v>0</v>
      </c>
      <c r="M27" s="395">
        <f t="shared" ca="1" si="4"/>
        <v>0</v>
      </c>
      <c r="N27" s="395">
        <f t="shared" ca="1" si="5"/>
        <v>0</v>
      </c>
      <c r="O27" s="395">
        <f t="shared" ca="1" si="6"/>
        <v>0</v>
      </c>
      <c r="P27" s="395">
        <f t="shared" ca="1" si="7"/>
        <v>0</v>
      </c>
      <c r="Q27" s="395">
        <f t="shared" ca="1" si="8"/>
        <v>0</v>
      </c>
      <c r="R27" s="395">
        <f t="shared" ca="1" si="39"/>
        <v>0</v>
      </c>
      <c r="S27" s="395">
        <f t="shared" ca="1" si="40"/>
        <v>0</v>
      </c>
      <c r="T27" s="395">
        <f t="shared" ca="1" si="9"/>
        <v>0</v>
      </c>
      <c r="U27" s="395">
        <f t="shared" ca="1" si="10"/>
        <v>31280000</v>
      </c>
      <c r="V27" s="395">
        <f t="shared" ca="1" si="11"/>
        <v>0</v>
      </c>
      <c r="W27" s="395">
        <f t="shared" ca="1" si="12"/>
        <v>0</v>
      </c>
      <c r="X27" s="395">
        <f t="shared" ca="1" si="13"/>
        <v>0</v>
      </c>
      <c r="Y27" s="395">
        <f t="shared" ca="1" si="14"/>
        <v>0</v>
      </c>
      <c r="Z27" s="395">
        <f t="shared" ca="1" si="15"/>
        <v>0</v>
      </c>
      <c r="AA27" s="395">
        <f t="shared" ca="1" si="16"/>
        <v>0</v>
      </c>
      <c r="AB27" s="395">
        <f t="shared" ca="1" si="17"/>
        <v>0</v>
      </c>
      <c r="AC27" s="395">
        <f t="shared" ca="1" si="18"/>
        <v>0</v>
      </c>
      <c r="AD27" s="395">
        <f t="shared" ca="1" si="19"/>
        <v>0</v>
      </c>
      <c r="AE27" s="395">
        <f t="shared" ca="1" si="20"/>
        <v>0</v>
      </c>
      <c r="AF27" s="395">
        <f t="shared" ca="1" si="21"/>
        <v>0</v>
      </c>
      <c r="AG27" s="395">
        <f t="shared" ca="1" si="22"/>
        <v>0</v>
      </c>
      <c r="AH27" s="395">
        <f t="shared" ca="1" si="23"/>
        <v>0</v>
      </c>
      <c r="AI27" s="395">
        <f t="shared" ca="1" si="24"/>
        <v>0</v>
      </c>
      <c r="AJ27" s="395">
        <f t="shared" ca="1" si="25"/>
        <v>0</v>
      </c>
      <c r="AK27" s="395">
        <f t="shared" ca="1" si="26"/>
        <v>0</v>
      </c>
      <c r="AL27" s="395">
        <f t="shared" ca="1" si="27"/>
        <v>0</v>
      </c>
      <c r="AM27" s="395">
        <f t="shared" ca="1" si="28"/>
        <v>0</v>
      </c>
      <c r="AN27" s="395">
        <f t="shared" ca="1" si="29"/>
        <v>31280000</v>
      </c>
      <c r="AO27" s="395">
        <f t="shared" ca="1" si="30"/>
        <v>0</v>
      </c>
      <c r="AP27" s="395">
        <f t="shared" ca="1" si="31"/>
        <v>0</v>
      </c>
      <c r="AQ27" s="395">
        <f t="shared" ca="1" si="32"/>
        <v>0</v>
      </c>
      <c r="AR27" s="395">
        <f t="shared" ca="1" si="33"/>
        <v>0</v>
      </c>
      <c r="AS27" s="395">
        <f t="shared" ca="1" si="34"/>
        <v>0</v>
      </c>
      <c r="AT27" s="395">
        <f t="shared" ca="1" si="35"/>
        <v>0</v>
      </c>
      <c r="AU27" s="395">
        <f t="shared" ca="1" si="36"/>
        <v>0</v>
      </c>
      <c r="AV27" s="395">
        <f t="shared" ca="1" si="37"/>
        <v>0</v>
      </c>
      <c r="AW27" s="395">
        <f t="shared" ca="1" si="38"/>
        <v>0</v>
      </c>
    </row>
    <row r="28" spans="1:49" s="392" customFormat="1" ht="12" customHeight="1">
      <c r="A28" s="63">
        <f t="array" aca="1" ref="A28" ca="1">IF(C28&lt;&gt;0,SUM(($C$11:C28&lt;&gt;0)*1),"")</f>
        <v>18</v>
      </c>
      <c r="B28" s="393">
        <f ca="1">IF(ROWS($1:18)&gt;COUNT(Dong9),"",OFFSET(TH!C$1,SMALL(Dong9,ROWS($1:18)),))</f>
        <v>41934</v>
      </c>
      <c r="C28" s="393" t="str">
        <f ca="1">IF(ROWS($1:18)&gt;COUNT(Dong9),"",OFFSET(TH!D$1,SMALL(Dong9,ROWS($1:18)),))</f>
        <v>CTGS</v>
      </c>
      <c r="D28" s="393">
        <f ca="1">IF(ROWS($1:18)&gt;COUNT(Dong9),"",OFFSET(TH!E$1,SMALL(Dong9,ROWS($1:18)),))</f>
        <v>41934</v>
      </c>
      <c r="E28" s="443" t="str">
        <f ca="1">IF(ROWS($1:18)&gt;COUNT(Dong9),"",OFFSET(TH!F$1,SMALL(Dong9,ROWS($1:18)),))</f>
        <v>VAT CSHT - KCN Long Đức</v>
      </c>
      <c r="F28" s="444">
        <f ca="1">IF(ROWS($1:18)&gt;COUNT(Dong9),"",OFFSET(TH!I$1,SMALL(Dong9,ROWS($1:18)),))</f>
        <v>3128000</v>
      </c>
      <c r="G28" s="456" t="str">
        <f ca="1">IF(ROWS($1:18)&gt;COUNT(Dong9),"",OFFSET(TH!J$1,SMALL(Dong9,ROWS($1:18)),))</f>
        <v>1331</v>
      </c>
      <c r="H28" s="456" t="str">
        <f ca="1">IF(ROWS($1:18)&gt;COUNT(Dong9),"",OFFSET(TH!K$1,SMALL(Dong9,ROWS($1:18)),))</f>
        <v>331</v>
      </c>
      <c r="I28" s="63">
        <f t="shared" ca="1" si="0"/>
        <v>18</v>
      </c>
      <c r="J28" s="395">
        <f t="shared" ca="1" si="1"/>
        <v>0</v>
      </c>
      <c r="K28" s="395">
        <f t="shared" ca="1" si="2"/>
        <v>0</v>
      </c>
      <c r="L28" s="395">
        <f t="shared" ca="1" si="3"/>
        <v>0</v>
      </c>
      <c r="M28" s="395">
        <f t="shared" ca="1" si="4"/>
        <v>0</v>
      </c>
      <c r="N28" s="395">
        <f t="shared" ca="1" si="5"/>
        <v>3128000</v>
      </c>
      <c r="O28" s="395">
        <f t="shared" ca="1" si="6"/>
        <v>0</v>
      </c>
      <c r="P28" s="395">
        <f t="shared" ca="1" si="7"/>
        <v>0</v>
      </c>
      <c r="Q28" s="395">
        <f t="shared" ca="1" si="8"/>
        <v>0</v>
      </c>
      <c r="R28" s="395">
        <f t="shared" ca="1" si="39"/>
        <v>0</v>
      </c>
      <c r="S28" s="395">
        <f t="shared" ca="1" si="40"/>
        <v>0</v>
      </c>
      <c r="T28" s="395">
        <f t="shared" ca="1" si="9"/>
        <v>0</v>
      </c>
      <c r="U28" s="395">
        <f t="shared" ca="1" si="10"/>
        <v>3128000</v>
      </c>
      <c r="V28" s="395">
        <f t="shared" ca="1" si="11"/>
        <v>0</v>
      </c>
      <c r="W28" s="395">
        <f t="shared" ca="1" si="12"/>
        <v>0</v>
      </c>
      <c r="X28" s="395">
        <f t="shared" ca="1" si="13"/>
        <v>0</v>
      </c>
      <c r="Y28" s="395">
        <f t="shared" ca="1" si="14"/>
        <v>0</v>
      </c>
      <c r="Z28" s="395">
        <f t="shared" ca="1" si="15"/>
        <v>0</v>
      </c>
      <c r="AA28" s="395">
        <f t="shared" ca="1" si="16"/>
        <v>0</v>
      </c>
      <c r="AB28" s="395">
        <f t="shared" ca="1" si="17"/>
        <v>0</v>
      </c>
      <c r="AC28" s="395">
        <f t="shared" ca="1" si="18"/>
        <v>0</v>
      </c>
      <c r="AD28" s="395">
        <f t="shared" ca="1" si="19"/>
        <v>0</v>
      </c>
      <c r="AE28" s="395">
        <f t="shared" ca="1" si="20"/>
        <v>0</v>
      </c>
      <c r="AF28" s="395">
        <f t="shared" ca="1" si="21"/>
        <v>0</v>
      </c>
      <c r="AG28" s="395">
        <f t="shared" ca="1" si="22"/>
        <v>0</v>
      </c>
      <c r="AH28" s="395">
        <f t="shared" ca="1" si="23"/>
        <v>0</v>
      </c>
      <c r="AI28" s="395">
        <f t="shared" ca="1" si="24"/>
        <v>0</v>
      </c>
      <c r="AJ28" s="395">
        <f t="shared" ca="1" si="25"/>
        <v>0</v>
      </c>
      <c r="AK28" s="395">
        <f t="shared" ca="1" si="26"/>
        <v>0</v>
      </c>
      <c r="AL28" s="395">
        <f t="shared" ca="1" si="27"/>
        <v>0</v>
      </c>
      <c r="AM28" s="395">
        <f t="shared" ca="1" si="28"/>
        <v>0</v>
      </c>
      <c r="AN28" s="395">
        <f t="shared" ca="1" si="29"/>
        <v>0</v>
      </c>
      <c r="AO28" s="395">
        <f t="shared" ca="1" si="30"/>
        <v>0</v>
      </c>
      <c r="AP28" s="395">
        <f t="shared" ca="1" si="31"/>
        <v>0</v>
      </c>
      <c r="AQ28" s="395">
        <f t="shared" ca="1" si="32"/>
        <v>0</v>
      </c>
      <c r="AR28" s="395">
        <f t="shared" ca="1" si="33"/>
        <v>0</v>
      </c>
      <c r="AS28" s="395">
        <f t="shared" ca="1" si="34"/>
        <v>0</v>
      </c>
      <c r="AT28" s="395">
        <f t="shared" ca="1" si="35"/>
        <v>0</v>
      </c>
      <c r="AU28" s="395">
        <f t="shared" ca="1" si="36"/>
        <v>0</v>
      </c>
      <c r="AV28" s="395">
        <f t="shared" ca="1" si="37"/>
        <v>0</v>
      </c>
      <c r="AW28" s="395">
        <f t="shared" ca="1" si="38"/>
        <v>0</v>
      </c>
    </row>
    <row r="29" spans="1:49" s="392" customFormat="1" ht="12" customHeight="1">
      <c r="A29" s="63">
        <f t="array" aca="1" ref="A29" ca="1">IF(C29&lt;&gt;0,SUM(($C$11:C29&lt;&gt;0)*1),"")</f>
        <v>19</v>
      </c>
      <c r="B29" s="393">
        <f ca="1">IF(ROWS($1:19)&gt;COUNT(Dong9),"",OFFSET(TH!C$1,SMALL(Dong9,ROWS($1:19)),))</f>
        <v>41934</v>
      </c>
      <c r="C29" s="393" t="str">
        <f ca="1">IF(ROWS($1:19)&gt;COUNT(Dong9),"",OFFSET(TH!D$1,SMALL(Dong9,ROWS($1:19)),))</f>
        <v>GBC</v>
      </c>
      <c r="D29" s="393">
        <f ca="1">IF(ROWS($1:19)&gt;COUNT(Dong9),"",OFFSET(TH!E$1,SMALL(Dong9,ROWS($1:19)),))</f>
        <v>41934</v>
      </c>
      <c r="E29" s="443" t="str">
        <f ca="1">IF(ROWS($1:19)&gt;COUNT(Dong9),"",OFFSET(TH!F$1,SMALL(Dong9,ROWS($1:19)),))</f>
        <v>Vay KU 1402LDS201402374</v>
      </c>
      <c r="F29" s="444">
        <f ca="1">IF(ROWS($1:19)&gt;COUNT(Dong9),"",OFFSET(TH!I$1,SMALL(Dong9,ROWS($1:19)),))</f>
        <v>1600000000</v>
      </c>
      <c r="G29" s="456" t="str">
        <f ca="1">IF(ROWS($1:19)&gt;COUNT(Dong9),"",OFFSET(TH!J$1,SMALL(Dong9,ROWS($1:19)),))</f>
        <v>1121</v>
      </c>
      <c r="H29" s="456" t="str">
        <f ca="1">IF(ROWS($1:19)&gt;COUNT(Dong9),"",OFFSET(TH!K$1,SMALL(Dong9,ROWS($1:19)),))</f>
        <v>3411</v>
      </c>
      <c r="I29" s="63">
        <f t="shared" ca="1" si="0"/>
        <v>19</v>
      </c>
      <c r="J29" s="395">
        <f t="shared" ca="1" si="1"/>
        <v>0</v>
      </c>
      <c r="K29" s="395">
        <f t="shared" ca="1" si="2"/>
        <v>0</v>
      </c>
      <c r="L29" s="395">
        <f t="shared" ca="1" si="3"/>
        <v>1600000000</v>
      </c>
      <c r="M29" s="395">
        <f t="shared" ca="1" si="4"/>
        <v>0</v>
      </c>
      <c r="N29" s="395">
        <f t="shared" ca="1" si="5"/>
        <v>0</v>
      </c>
      <c r="O29" s="395">
        <f t="shared" ca="1" si="6"/>
        <v>0</v>
      </c>
      <c r="P29" s="395">
        <f t="shared" ca="1" si="7"/>
        <v>0</v>
      </c>
      <c r="Q29" s="395">
        <f t="shared" ca="1" si="8"/>
        <v>0</v>
      </c>
      <c r="R29" s="395">
        <f t="shared" ca="1" si="39"/>
        <v>0</v>
      </c>
      <c r="S29" s="395">
        <f t="shared" ca="1" si="40"/>
        <v>0</v>
      </c>
      <c r="T29" s="395">
        <f t="shared" ca="1" si="9"/>
        <v>0</v>
      </c>
      <c r="U29" s="395">
        <f t="shared" ca="1" si="10"/>
        <v>0</v>
      </c>
      <c r="V29" s="395">
        <f t="shared" ca="1" si="11"/>
        <v>0</v>
      </c>
      <c r="W29" s="395">
        <f t="shared" ca="1" si="12"/>
        <v>0</v>
      </c>
      <c r="X29" s="395">
        <f t="shared" ca="1" si="13"/>
        <v>0</v>
      </c>
      <c r="Y29" s="395">
        <f t="shared" ca="1" si="14"/>
        <v>0</v>
      </c>
      <c r="Z29" s="395">
        <f t="shared" ca="1" si="15"/>
        <v>0</v>
      </c>
      <c r="AA29" s="395">
        <f t="shared" ca="1" si="16"/>
        <v>0</v>
      </c>
      <c r="AB29" s="395">
        <f t="shared" ca="1" si="17"/>
        <v>0</v>
      </c>
      <c r="AC29" s="395">
        <f t="shared" ca="1" si="18"/>
        <v>1600000000</v>
      </c>
      <c r="AD29" s="395">
        <f t="shared" ca="1" si="19"/>
        <v>0</v>
      </c>
      <c r="AE29" s="395">
        <f t="shared" ca="1" si="20"/>
        <v>0</v>
      </c>
      <c r="AF29" s="395">
        <f t="shared" ca="1" si="21"/>
        <v>0</v>
      </c>
      <c r="AG29" s="395">
        <f t="shared" ca="1" si="22"/>
        <v>0</v>
      </c>
      <c r="AH29" s="395">
        <f t="shared" ca="1" si="23"/>
        <v>0</v>
      </c>
      <c r="AI29" s="395">
        <f t="shared" ca="1" si="24"/>
        <v>0</v>
      </c>
      <c r="AJ29" s="395">
        <f t="shared" ca="1" si="25"/>
        <v>0</v>
      </c>
      <c r="AK29" s="395">
        <f t="shared" ca="1" si="26"/>
        <v>0</v>
      </c>
      <c r="AL29" s="395">
        <f t="shared" ca="1" si="27"/>
        <v>0</v>
      </c>
      <c r="AM29" s="395">
        <f t="shared" ca="1" si="28"/>
        <v>0</v>
      </c>
      <c r="AN29" s="395">
        <f t="shared" ca="1" si="29"/>
        <v>0</v>
      </c>
      <c r="AO29" s="395">
        <f t="shared" ca="1" si="30"/>
        <v>0</v>
      </c>
      <c r="AP29" s="395">
        <f t="shared" ca="1" si="31"/>
        <v>0</v>
      </c>
      <c r="AQ29" s="395">
        <f t="shared" ca="1" si="32"/>
        <v>0</v>
      </c>
      <c r="AR29" s="395">
        <f t="shared" ca="1" si="33"/>
        <v>0</v>
      </c>
      <c r="AS29" s="395">
        <f t="shared" ca="1" si="34"/>
        <v>0</v>
      </c>
      <c r="AT29" s="395">
        <f t="shared" ca="1" si="35"/>
        <v>0</v>
      </c>
      <c r="AU29" s="395">
        <f t="shared" ca="1" si="36"/>
        <v>0</v>
      </c>
      <c r="AV29" s="395">
        <f t="shared" ca="1" si="37"/>
        <v>0</v>
      </c>
      <c r="AW29" s="395">
        <f t="shared" ca="1" si="38"/>
        <v>0</v>
      </c>
    </row>
    <row r="30" spans="1:49" s="392" customFormat="1" ht="12" customHeight="1">
      <c r="A30" s="63">
        <f t="array" aca="1" ref="A30" ca="1">IF(C30&lt;&gt;0,SUM(($C$11:C30&lt;&gt;0)*1),"")</f>
        <v>20</v>
      </c>
      <c r="B30" s="393">
        <f ca="1">IF(ROWS($1:20)&gt;COUNT(Dong9),"",OFFSET(TH!C$1,SMALL(Dong9,ROWS($1:20)),))</f>
        <v>41935</v>
      </c>
      <c r="C30" s="393" t="str">
        <f ca="1">IF(ROWS($1:20)&gt;COUNT(Dong9),"",OFFSET(TH!D$1,SMALL(Dong9,ROWS($1:20)),))</f>
        <v>GBN</v>
      </c>
      <c r="D30" s="393">
        <f ca="1">IF(ROWS($1:20)&gt;COUNT(Dong9),"",OFFSET(TH!E$1,SMALL(Dong9,ROWS($1:20)),))</f>
        <v>41935</v>
      </c>
      <c r="E30" s="443" t="str">
        <f ca="1">IF(ROWS($1:20)&gt;COUNT(Dong9),"",OFFSET(TH!F$1,SMALL(Dong9,ROWS($1:20)),))</f>
        <v>Thanh toán tiền xây dựng - Khánh Trân</v>
      </c>
      <c r="F30" s="444">
        <f ca="1">IF(ROWS($1:20)&gt;COUNT(Dong9),"",OFFSET(TH!I$1,SMALL(Dong9,ROWS($1:20)),))</f>
        <v>1500000000</v>
      </c>
      <c r="G30" s="456" t="str">
        <f ca="1">IF(ROWS($1:20)&gt;COUNT(Dong9),"",OFFSET(TH!J$1,SMALL(Dong9,ROWS($1:20)),))</f>
        <v>331</v>
      </c>
      <c r="H30" s="456" t="str">
        <f ca="1">IF(ROWS($1:20)&gt;COUNT(Dong9),"",OFFSET(TH!K$1,SMALL(Dong9,ROWS($1:20)),))</f>
        <v>1121</v>
      </c>
      <c r="I30" s="63">
        <f t="shared" ca="1" si="0"/>
        <v>20</v>
      </c>
      <c r="J30" s="395">
        <f t="shared" ca="1" si="1"/>
        <v>0</v>
      </c>
      <c r="K30" s="395">
        <f t="shared" ca="1" si="2"/>
        <v>0</v>
      </c>
      <c r="L30" s="395">
        <f t="shared" ca="1" si="3"/>
        <v>0</v>
      </c>
      <c r="M30" s="395">
        <f t="shared" ca="1" si="4"/>
        <v>1500000000</v>
      </c>
      <c r="N30" s="395">
        <f t="shared" ca="1" si="5"/>
        <v>0</v>
      </c>
      <c r="O30" s="395">
        <f t="shared" ca="1" si="6"/>
        <v>0</v>
      </c>
      <c r="P30" s="395">
        <f t="shared" ca="1" si="7"/>
        <v>0</v>
      </c>
      <c r="Q30" s="395">
        <f t="shared" ca="1" si="8"/>
        <v>0</v>
      </c>
      <c r="R30" s="395">
        <f t="shared" ca="1" si="39"/>
        <v>0</v>
      </c>
      <c r="S30" s="395">
        <f t="shared" ca="1" si="40"/>
        <v>0</v>
      </c>
      <c r="T30" s="395">
        <f t="shared" ca="1" si="9"/>
        <v>1500000000</v>
      </c>
      <c r="U30" s="395">
        <f t="shared" ca="1" si="10"/>
        <v>0</v>
      </c>
      <c r="V30" s="395">
        <f t="shared" ca="1" si="11"/>
        <v>0</v>
      </c>
      <c r="W30" s="395">
        <f t="shared" ca="1" si="12"/>
        <v>0</v>
      </c>
      <c r="X30" s="395">
        <f t="shared" ca="1" si="13"/>
        <v>0</v>
      </c>
      <c r="Y30" s="395">
        <f t="shared" ca="1" si="14"/>
        <v>0</v>
      </c>
      <c r="Z30" s="395">
        <f t="shared" ca="1" si="15"/>
        <v>0</v>
      </c>
      <c r="AA30" s="395">
        <f t="shared" ca="1" si="16"/>
        <v>0</v>
      </c>
      <c r="AB30" s="395">
        <f t="shared" ca="1" si="17"/>
        <v>0</v>
      </c>
      <c r="AC30" s="395">
        <f t="shared" ca="1" si="18"/>
        <v>0</v>
      </c>
      <c r="AD30" s="395">
        <f t="shared" ca="1" si="19"/>
        <v>0</v>
      </c>
      <c r="AE30" s="395">
        <f t="shared" ca="1" si="20"/>
        <v>0</v>
      </c>
      <c r="AF30" s="395">
        <f t="shared" ca="1" si="21"/>
        <v>0</v>
      </c>
      <c r="AG30" s="395">
        <f t="shared" ca="1" si="22"/>
        <v>0</v>
      </c>
      <c r="AH30" s="395">
        <f t="shared" ca="1" si="23"/>
        <v>0</v>
      </c>
      <c r="AI30" s="395">
        <f t="shared" ca="1" si="24"/>
        <v>0</v>
      </c>
      <c r="AJ30" s="395">
        <f t="shared" ca="1" si="25"/>
        <v>0</v>
      </c>
      <c r="AK30" s="395">
        <f t="shared" ca="1" si="26"/>
        <v>0</v>
      </c>
      <c r="AL30" s="395">
        <f t="shared" ca="1" si="27"/>
        <v>0</v>
      </c>
      <c r="AM30" s="395">
        <f t="shared" ca="1" si="28"/>
        <v>0</v>
      </c>
      <c r="AN30" s="395">
        <f t="shared" ca="1" si="29"/>
        <v>0</v>
      </c>
      <c r="AO30" s="395">
        <f t="shared" ca="1" si="30"/>
        <v>0</v>
      </c>
      <c r="AP30" s="395">
        <f t="shared" ca="1" si="31"/>
        <v>0</v>
      </c>
      <c r="AQ30" s="395">
        <f t="shared" ca="1" si="32"/>
        <v>0</v>
      </c>
      <c r="AR30" s="395">
        <f t="shared" ca="1" si="33"/>
        <v>0</v>
      </c>
      <c r="AS30" s="395">
        <f t="shared" ca="1" si="34"/>
        <v>0</v>
      </c>
      <c r="AT30" s="395">
        <f t="shared" ca="1" si="35"/>
        <v>0</v>
      </c>
      <c r="AU30" s="395">
        <f t="shared" ca="1" si="36"/>
        <v>0</v>
      </c>
      <c r="AV30" s="395">
        <f t="shared" ca="1" si="37"/>
        <v>0</v>
      </c>
      <c r="AW30" s="395">
        <f t="shared" ca="1" si="38"/>
        <v>0</v>
      </c>
    </row>
    <row r="31" spans="1:49" s="392" customFormat="1" ht="12" customHeight="1">
      <c r="A31" s="63">
        <f t="array" aca="1" ref="A31" ca="1">IF(C31&lt;&gt;0,SUM(($C$11:C31&lt;&gt;0)*1),"")</f>
        <v>21</v>
      </c>
      <c r="B31" s="393">
        <f ca="1">IF(ROWS($1:21)&gt;COUNT(Dong9),"",OFFSET(TH!C$1,SMALL(Dong9,ROWS($1:21)),))</f>
        <v>41935</v>
      </c>
      <c r="C31" s="393" t="str">
        <f ca="1">IF(ROWS($1:21)&gt;COUNT(Dong9),"",OFFSET(TH!D$1,SMALL(Dong9,ROWS($1:21)),))</f>
        <v>GBN</v>
      </c>
      <c r="D31" s="393">
        <f ca="1">IF(ROWS($1:21)&gt;COUNT(Dong9),"",OFFSET(TH!E$1,SMALL(Dong9,ROWS($1:21)),))</f>
        <v>41935</v>
      </c>
      <c r="E31" s="443" t="str">
        <f ca="1">IF(ROWS($1:21)&gt;COUNT(Dong9),"",OFFSET(TH!F$1,SMALL(Dong9,ROWS($1:21)),))</f>
        <v xml:space="preserve">Phí chuyển tiền </v>
      </c>
      <c r="F31" s="444">
        <f ca="1">IF(ROWS($1:21)&gt;COUNT(Dong9),"",OFFSET(TH!I$1,SMALL(Dong9,ROWS($1:21)),))</f>
        <v>750000</v>
      </c>
      <c r="G31" s="456" t="str">
        <f ca="1">IF(ROWS($1:21)&gt;COUNT(Dong9),"",OFFSET(TH!J$1,SMALL(Dong9,ROWS($1:21)),))</f>
        <v>642</v>
      </c>
      <c r="H31" s="456" t="str">
        <f ca="1">IF(ROWS($1:21)&gt;COUNT(Dong9),"",OFFSET(TH!K$1,SMALL(Dong9,ROWS($1:21)),))</f>
        <v>1121</v>
      </c>
      <c r="I31" s="63">
        <f t="shared" ca="1" si="0"/>
        <v>21</v>
      </c>
      <c r="J31" s="395">
        <f t="shared" ca="1" si="1"/>
        <v>0</v>
      </c>
      <c r="K31" s="395">
        <f t="shared" ca="1" si="2"/>
        <v>0</v>
      </c>
      <c r="L31" s="395">
        <f t="shared" ca="1" si="3"/>
        <v>0</v>
      </c>
      <c r="M31" s="395">
        <f t="shared" ca="1" si="4"/>
        <v>750000</v>
      </c>
      <c r="N31" s="395">
        <f t="shared" ca="1" si="5"/>
        <v>0</v>
      </c>
      <c r="O31" s="395">
        <f t="shared" ca="1" si="6"/>
        <v>0</v>
      </c>
      <c r="P31" s="395">
        <f t="shared" ca="1" si="7"/>
        <v>0</v>
      </c>
      <c r="Q31" s="395">
        <f t="shared" ca="1" si="8"/>
        <v>0</v>
      </c>
      <c r="R31" s="395">
        <f t="shared" ca="1" si="39"/>
        <v>0</v>
      </c>
      <c r="S31" s="395">
        <f t="shared" ca="1" si="40"/>
        <v>0</v>
      </c>
      <c r="T31" s="395">
        <f t="shared" ca="1" si="9"/>
        <v>0</v>
      </c>
      <c r="U31" s="395">
        <f t="shared" ca="1" si="10"/>
        <v>0</v>
      </c>
      <c r="V31" s="395">
        <f t="shared" ca="1" si="11"/>
        <v>0</v>
      </c>
      <c r="W31" s="395">
        <f t="shared" ca="1" si="12"/>
        <v>0</v>
      </c>
      <c r="X31" s="395">
        <f t="shared" ca="1" si="13"/>
        <v>0</v>
      </c>
      <c r="Y31" s="395">
        <f t="shared" ca="1" si="14"/>
        <v>0</v>
      </c>
      <c r="Z31" s="395">
        <f t="shared" ca="1" si="15"/>
        <v>0</v>
      </c>
      <c r="AA31" s="395">
        <f t="shared" ca="1" si="16"/>
        <v>0</v>
      </c>
      <c r="AB31" s="395">
        <f t="shared" ca="1" si="17"/>
        <v>0</v>
      </c>
      <c r="AC31" s="395">
        <f t="shared" ca="1" si="18"/>
        <v>0</v>
      </c>
      <c r="AD31" s="395">
        <f t="shared" ca="1" si="19"/>
        <v>0</v>
      </c>
      <c r="AE31" s="395">
        <f t="shared" ca="1" si="20"/>
        <v>0</v>
      </c>
      <c r="AF31" s="395">
        <f t="shared" ca="1" si="21"/>
        <v>0</v>
      </c>
      <c r="AG31" s="395">
        <f t="shared" ca="1" si="22"/>
        <v>0</v>
      </c>
      <c r="AH31" s="395">
        <f t="shared" ca="1" si="23"/>
        <v>0</v>
      </c>
      <c r="AI31" s="395">
        <f t="shared" ca="1" si="24"/>
        <v>0</v>
      </c>
      <c r="AJ31" s="395">
        <f t="shared" ca="1" si="25"/>
        <v>0</v>
      </c>
      <c r="AK31" s="395">
        <f t="shared" ca="1" si="26"/>
        <v>0</v>
      </c>
      <c r="AL31" s="395">
        <f t="shared" ca="1" si="27"/>
        <v>0</v>
      </c>
      <c r="AM31" s="395">
        <f t="shared" ca="1" si="28"/>
        <v>0</v>
      </c>
      <c r="AN31" s="395">
        <f t="shared" ca="1" si="29"/>
        <v>750000</v>
      </c>
      <c r="AO31" s="395">
        <f t="shared" ca="1" si="30"/>
        <v>0</v>
      </c>
      <c r="AP31" s="395">
        <f t="shared" ca="1" si="31"/>
        <v>0</v>
      </c>
      <c r="AQ31" s="395">
        <f t="shared" ca="1" si="32"/>
        <v>0</v>
      </c>
      <c r="AR31" s="395">
        <f t="shared" ca="1" si="33"/>
        <v>0</v>
      </c>
      <c r="AS31" s="395">
        <f t="shared" ca="1" si="34"/>
        <v>0</v>
      </c>
      <c r="AT31" s="395">
        <f t="shared" ca="1" si="35"/>
        <v>0</v>
      </c>
      <c r="AU31" s="395">
        <f t="shared" ca="1" si="36"/>
        <v>0</v>
      </c>
      <c r="AV31" s="395">
        <f t="shared" ca="1" si="37"/>
        <v>0</v>
      </c>
      <c r="AW31" s="395">
        <f t="shared" ca="1" si="38"/>
        <v>0</v>
      </c>
    </row>
    <row r="32" spans="1:49" s="392" customFormat="1" ht="12" customHeight="1">
      <c r="A32" s="63">
        <f t="array" aca="1" ref="A32" ca="1">IF(C32&lt;&gt;0,SUM(($C$11:C32&lt;&gt;0)*1),"")</f>
        <v>22</v>
      </c>
      <c r="B32" s="393">
        <f ca="1">IF(ROWS($1:22)&gt;COUNT(Dong9),"",OFFSET(TH!C$1,SMALL(Dong9,ROWS($1:22)),))</f>
        <v>41935</v>
      </c>
      <c r="C32" s="393" t="str">
        <f ca="1">IF(ROWS($1:22)&gt;COUNT(Dong9),"",OFFSET(TH!D$1,SMALL(Dong9,ROWS($1:22)),))</f>
        <v>GBN</v>
      </c>
      <c r="D32" s="393">
        <f ca="1">IF(ROWS($1:22)&gt;COUNT(Dong9),"",OFFSET(TH!E$1,SMALL(Dong9,ROWS($1:22)),))</f>
        <v>41935</v>
      </c>
      <c r="E32" s="443" t="str">
        <f ca="1">IF(ROWS($1:22)&gt;COUNT(Dong9),"",OFFSET(TH!F$1,SMALL(Dong9,ROWS($1:22)),))</f>
        <v xml:space="preserve">VAT Phí chuyển tiền </v>
      </c>
      <c r="F32" s="444">
        <f ca="1">IF(ROWS($1:22)&gt;COUNT(Dong9),"",OFFSET(TH!I$1,SMALL(Dong9,ROWS($1:22)),))</f>
        <v>75000</v>
      </c>
      <c r="G32" s="456" t="str">
        <f ca="1">IF(ROWS($1:22)&gt;COUNT(Dong9),"",OFFSET(TH!J$1,SMALL(Dong9,ROWS($1:22)),))</f>
        <v>1331</v>
      </c>
      <c r="H32" s="456" t="str">
        <f ca="1">IF(ROWS($1:22)&gt;COUNT(Dong9),"",OFFSET(TH!K$1,SMALL(Dong9,ROWS($1:22)),))</f>
        <v>1121</v>
      </c>
      <c r="I32" s="63">
        <f t="shared" ca="1" si="0"/>
        <v>22</v>
      </c>
      <c r="J32" s="395">
        <f t="shared" ca="1" si="1"/>
        <v>0</v>
      </c>
      <c r="K32" s="395">
        <f t="shared" ca="1" si="2"/>
        <v>0</v>
      </c>
      <c r="L32" s="395">
        <f t="shared" ca="1" si="3"/>
        <v>0</v>
      </c>
      <c r="M32" s="395">
        <f t="shared" ca="1" si="4"/>
        <v>75000</v>
      </c>
      <c r="N32" s="395">
        <f t="shared" ca="1" si="5"/>
        <v>75000</v>
      </c>
      <c r="O32" s="395">
        <f t="shared" ca="1" si="6"/>
        <v>0</v>
      </c>
      <c r="P32" s="395">
        <f t="shared" ca="1" si="7"/>
        <v>0</v>
      </c>
      <c r="Q32" s="395">
        <f t="shared" ca="1" si="8"/>
        <v>0</v>
      </c>
      <c r="R32" s="395">
        <f t="shared" ca="1" si="39"/>
        <v>0</v>
      </c>
      <c r="S32" s="395">
        <f t="shared" ca="1" si="40"/>
        <v>0</v>
      </c>
      <c r="T32" s="395">
        <f t="shared" ca="1" si="9"/>
        <v>0</v>
      </c>
      <c r="U32" s="395">
        <f t="shared" ca="1" si="10"/>
        <v>0</v>
      </c>
      <c r="V32" s="395">
        <f t="shared" ca="1" si="11"/>
        <v>0</v>
      </c>
      <c r="W32" s="395">
        <f t="shared" ca="1" si="12"/>
        <v>0</v>
      </c>
      <c r="X32" s="395">
        <f t="shared" ca="1" si="13"/>
        <v>0</v>
      </c>
      <c r="Y32" s="395">
        <f t="shared" ca="1" si="14"/>
        <v>0</v>
      </c>
      <c r="Z32" s="395">
        <f t="shared" ca="1" si="15"/>
        <v>0</v>
      </c>
      <c r="AA32" s="395">
        <f t="shared" ca="1" si="16"/>
        <v>0</v>
      </c>
      <c r="AB32" s="395">
        <f t="shared" ca="1" si="17"/>
        <v>0</v>
      </c>
      <c r="AC32" s="395">
        <f t="shared" ca="1" si="18"/>
        <v>0</v>
      </c>
      <c r="AD32" s="395">
        <f t="shared" ca="1" si="19"/>
        <v>0</v>
      </c>
      <c r="AE32" s="395">
        <f t="shared" ca="1" si="20"/>
        <v>0</v>
      </c>
      <c r="AF32" s="395">
        <f t="shared" ca="1" si="21"/>
        <v>0</v>
      </c>
      <c r="AG32" s="395">
        <f t="shared" ca="1" si="22"/>
        <v>0</v>
      </c>
      <c r="AH32" s="395">
        <f t="shared" ca="1" si="23"/>
        <v>0</v>
      </c>
      <c r="AI32" s="395">
        <f t="shared" ca="1" si="24"/>
        <v>0</v>
      </c>
      <c r="AJ32" s="395">
        <f t="shared" ca="1" si="25"/>
        <v>0</v>
      </c>
      <c r="AK32" s="395">
        <f t="shared" ca="1" si="26"/>
        <v>0</v>
      </c>
      <c r="AL32" s="395">
        <f t="shared" ca="1" si="27"/>
        <v>0</v>
      </c>
      <c r="AM32" s="395">
        <f t="shared" ca="1" si="28"/>
        <v>0</v>
      </c>
      <c r="AN32" s="395">
        <f t="shared" ca="1" si="29"/>
        <v>0</v>
      </c>
      <c r="AO32" s="395">
        <f t="shared" ca="1" si="30"/>
        <v>0</v>
      </c>
      <c r="AP32" s="395">
        <f t="shared" ca="1" si="31"/>
        <v>0</v>
      </c>
      <c r="AQ32" s="395">
        <f t="shared" ca="1" si="32"/>
        <v>0</v>
      </c>
      <c r="AR32" s="395">
        <f t="shared" ca="1" si="33"/>
        <v>0</v>
      </c>
      <c r="AS32" s="395">
        <f t="shared" ca="1" si="34"/>
        <v>0</v>
      </c>
      <c r="AT32" s="395">
        <f t="shared" ca="1" si="35"/>
        <v>0</v>
      </c>
      <c r="AU32" s="395">
        <f t="shared" ca="1" si="36"/>
        <v>0</v>
      </c>
      <c r="AV32" s="395">
        <f t="shared" ca="1" si="37"/>
        <v>0</v>
      </c>
      <c r="AW32" s="395">
        <f t="shared" ca="1" si="38"/>
        <v>0</v>
      </c>
    </row>
    <row r="33" spans="1:49" s="392" customFormat="1" ht="12" customHeight="1">
      <c r="A33" s="63">
        <f t="array" aca="1" ref="A33" ca="1">IF(C33&lt;&gt;0,SUM(($C$11:C33&lt;&gt;0)*1),"")</f>
        <v>23</v>
      </c>
      <c r="B33" s="393">
        <f ca="1">IF(ROWS($1:23)&gt;COUNT(Dong9),"",OFFSET(TH!C$1,SMALL(Dong9,ROWS($1:23)),))</f>
        <v>41936</v>
      </c>
      <c r="C33" s="393" t="str">
        <f ca="1">IF(ROWS($1:23)&gt;COUNT(Dong9),"",OFFSET(TH!D$1,SMALL(Dong9,ROWS($1:23)),))</f>
        <v>GBC</v>
      </c>
      <c r="D33" s="393">
        <f ca="1">IF(ROWS($1:23)&gt;COUNT(Dong9),"",OFFSET(TH!E$1,SMALL(Dong9,ROWS($1:23)),))</f>
        <v>41936</v>
      </c>
      <c r="E33" s="443" t="str">
        <f ca="1">IF(ROWS($1:23)&gt;COUNT(Dong9),"",OFFSET(TH!F$1,SMALL(Dong9,ROWS($1:23)),))</f>
        <v>Lãi tiền gửi</v>
      </c>
      <c r="F33" s="444">
        <f ca="1">IF(ROWS($1:23)&gt;COUNT(Dong9),"",OFFSET(TH!I$1,SMALL(Dong9,ROWS($1:23)),))</f>
        <v>322248</v>
      </c>
      <c r="G33" s="456" t="str">
        <f ca="1">IF(ROWS($1:23)&gt;COUNT(Dong9),"",OFFSET(TH!J$1,SMALL(Dong9,ROWS($1:23)),))</f>
        <v>1121</v>
      </c>
      <c r="H33" s="456" t="str">
        <f ca="1">IF(ROWS($1:23)&gt;COUNT(Dong9),"",OFFSET(TH!K$1,SMALL(Dong9,ROWS($1:23)),))</f>
        <v>515</v>
      </c>
      <c r="I33" s="63">
        <f t="shared" ca="1" si="0"/>
        <v>23</v>
      </c>
      <c r="J33" s="395">
        <f t="shared" ca="1" si="1"/>
        <v>0</v>
      </c>
      <c r="K33" s="395">
        <f t="shared" ca="1" si="2"/>
        <v>0</v>
      </c>
      <c r="L33" s="395">
        <f t="shared" ca="1" si="3"/>
        <v>322248</v>
      </c>
      <c r="M33" s="395">
        <f t="shared" ca="1" si="4"/>
        <v>0</v>
      </c>
      <c r="N33" s="395">
        <f t="shared" ca="1" si="5"/>
        <v>0</v>
      </c>
      <c r="O33" s="395">
        <f t="shared" ca="1" si="6"/>
        <v>0</v>
      </c>
      <c r="P33" s="395">
        <f t="shared" ca="1" si="7"/>
        <v>0</v>
      </c>
      <c r="Q33" s="395">
        <f t="shared" ca="1" si="8"/>
        <v>0</v>
      </c>
      <c r="R33" s="395">
        <f t="shared" ca="1" si="39"/>
        <v>0</v>
      </c>
      <c r="S33" s="395">
        <f t="shared" ca="1" si="40"/>
        <v>0</v>
      </c>
      <c r="T33" s="395">
        <f t="shared" ca="1" si="9"/>
        <v>0</v>
      </c>
      <c r="U33" s="395">
        <f t="shared" ca="1" si="10"/>
        <v>0</v>
      </c>
      <c r="V33" s="395">
        <f t="shared" ca="1" si="11"/>
        <v>0</v>
      </c>
      <c r="W33" s="395">
        <f t="shared" ca="1" si="12"/>
        <v>0</v>
      </c>
      <c r="X33" s="395">
        <f t="shared" ca="1" si="13"/>
        <v>0</v>
      </c>
      <c r="Y33" s="395">
        <f t="shared" ca="1" si="14"/>
        <v>0</v>
      </c>
      <c r="Z33" s="395">
        <f t="shared" ca="1" si="15"/>
        <v>0</v>
      </c>
      <c r="AA33" s="395">
        <f t="shared" ca="1" si="16"/>
        <v>0</v>
      </c>
      <c r="AB33" s="395">
        <f t="shared" ca="1" si="17"/>
        <v>0</v>
      </c>
      <c r="AC33" s="395">
        <f t="shared" ca="1" si="18"/>
        <v>0</v>
      </c>
      <c r="AD33" s="395">
        <f t="shared" ca="1" si="19"/>
        <v>0</v>
      </c>
      <c r="AE33" s="395">
        <f t="shared" ca="1" si="20"/>
        <v>0</v>
      </c>
      <c r="AF33" s="395">
        <f t="shared" ca="1" si="21"/>
        <v>0</v>
      </c>
      <c r="AG33" s="395">
        <f t="shared" ca="1" si="22"/>
        <v>0</v>
      </c>
      <c r="AH33" s="395">
        <f t="shared" ca="1" si="23"/>
        <v>0</v>
      </c>
      <c r="AI33" s="395">
        <f t="shared" ca="1" si="24"/>
        <v>0</v>
      </c>
      <c r="AJ33" s="395">
        <f t="shared" ca="1" si="25"/>
        <v>0</v>
      </c>
      <c r="AK33" s="395">
        <f t="shared" ca="1" si="26"/>
        <v>322248</v>
      </c>
      <c r="AL33" s="395">
        <f t="shared" ca="1" si="27"/>
        <v>0</v>
      </c>
      <c r="AM33" s="395">
        <f t="shared" ca="1" si="28"/>
        <v>0</v>
      </c>
      <c r="AN33" s="395">
        <f t="shared" ca="1" si="29"/>
        <v>0</v>
      </c>
      <c r="AO33" s="395">
        <f t="shared" ca="1" si="30"/>
        <v>0</v>
      </c>
      <c r="AP33" s="395">
        <f t="shared" ca="1" si="31"/>
        <v>0</v>
      </c>
      <c r="AQ33" s="395">
        <f t="shared" ca="1" si="32"/>
        <v>0</v>
      </c>
      <c r="AR33" s="395">
        <f t="shared" ca="1" si="33"/>
        <v>0</v>
      </c>
      <c r="AS33" s="395">
        <f t="shared" ca="1" si="34"/>
        <v>0</v>
      </c>
      <c r="AT33" s="395">
        <f t="shared" ca="1" si="35"/>
        <v>0</v>
      </c>
      <c r="AU33" s="395">
        <f t="shared" ca="1" si="36"/>
        <v>0</v>
      </c>
      <c r="AV33" s="395">
        <f t="shared" ca="1" si="37"/>
        <v>0</v>
      </c>
      <c r="AW33" s="395">
        <f t="shared" ca="1" si="38"/>
        <v>0</v>
      </c>
    </row>
    <row r="34" spans="1:49" s="392" customFormat="1" ht="12" customHeight="1">
      <c r="A34" s="63">
        <f t="array" aca="1" ref="A34" ca="1">IF(C34&lt;&gt;0,SUM(($C$11:C34&lt;&gt;0)*1),"")</f>
        <v>24</v>
      </c>
      <c r="B34" s="393">
        <f ca="1">IF(ROWS($1:24)&gt;COUNT(Dong9),"",OFFSET(TH!C$1,SMALL(Dong9,ROWS($1:24)),))</f>
        <v>41942</v>
      </c>
      <c r="C34" s="393" t="str">
        <f ca="1">IF(ROWS($1:24)&gt;COUNT(Dong9),"",OFFSET(TH!D$1,SMALL(Dong9,ROWS($1:24)),))</f>
        <v>GBN</v>
      </c>
      <c r="D34" s="393">
        <f ca="1">IF(ROWS($1:24)&gt;COUNT(Dong9),"",OFFSET(TH!E$1,SMALL(Dong9,ROWS($1:24)),))</f>
        <v>41942</v>
      </c>
      <c r="E34" s="443" t="str">
        <f ca="1">IF(ROWS($1:24)&gt;COUNT(Dong9),"",OFFSET(TH!F$1,SMALL(Dong9,ROWS($1:24)),))</f>
        <v>Thanh toán tiền đá - Hồng Rõ</v>
      </c>
      <c r="F34" s="444">
        <f ca="1">IF(ROWS($1:24)&gt;COUNT(Dong9),"",OFFSET(TH!I$1,SMALL(Dong9,ROWS($1:24)),))</f>
        <v>30800005</v>
      </c>
      <c r="G34" s="456" t="str">
        <f ca="1">IF(ROWS($1:24)&gt;COUNT(Dong9),"",OFFSET(TH!J$1,SMALL(Dong9,ROWS($1:24)),))</f>
        <v>331</v>
      </c>
      <c r="H34" s="456" t="str">
        <f ca="1">IF(ROWS($1:24)&gt;COUNT(Dong9),"",OFFSET(TH!K$1,SMALL(Dong9,ROWS($1:24)),))</f>
        <v>1121</v>
      </c>
      <c r="I34" s="63">
        <f t="shared" ca="1" si="0"/>
        <v>24</v>
      </c>
      <c r="J34" s="395">
        <f t="shared" ca="1" si="1"/>
        <v>0</v>
      </c>
      <c r="K34" s="395">
        <f t="shared" ca="1" si="2"/>
        <v>0</v>
      </c>
      <c r="L34" s="395">
        <f t="shared" ca="1" si="3"/>
        <v>0</v>
      </c>
      <c r="M34" s="395">
        <f t="shared" ca="1" si="4"/>
        <v>30800005</v>
      </c>
      <c r="N34" s="395">
        <f t="shared" ca="1" si="5"/>
        <v>0</v>
      </c>
      <c r="O34" s="395">
        <f t="shared" ca="1" si="6"/>
        <v>0</v>
      </c>
      <c r="P34" s="395">
        <f t="shared" ca="1" si="7"/>
        <v>0</v>
      </c>
      <c r="Q34" s="395">
        <f t="shared" ca="1" si="8"/>
        <v>0</v>
      </c>
      <c r="R34" s="395">
        <f t="shared" ca="1" si="39"/>
        <v>0</v>
      </c>
      <c r="S34" s="395">
        <f t="shared" ca="1" si="40"/>
        <v>0</v>
      </c>
      <c r="T34" s="395">
        <f t="shared" ca="1" si="9"/>
        <v>30800005</v>
      </c>
      <c r="U34" s="395">
        <f t="shared" ca="1" si="10"/>
        <v>0</v>
      </c>
      <c r="V34" s="395">
        <f t="shared" ca="1" si="11"/>
        <v>0</v>
      </c>
      <c r="W34" s="395">
        <f t="shared" ca="1" si="12"/>
        <v>0</v>
      </c>
      <c r="X34" s="395">
        <f t="shared" ca="1" si="13"/>
        <v>0</v>
      </c>
      <c r="Y34" s="395">
        <f t="shared" ca="1" si="14"/>
        <v>0</v>
      </c>
      <c r="Z34" s="395">
        <f t="shared" ca="1" si="15"/>
        <v>0</v>
      </c>
      <c r="AA34" s="395">
        <f t="shared" ca="1" si="16"/>
        <v>0</v>
      </c>
      <c r="AB34" s="395">
        <f t="shared" ca="1" si="17"/>
        <v>0</v>
      </c>
      <c r="AC34" s="395">
        <f t="shared" ca="1" si="18"/>
        <v>0</v>
      </c>
      <c r="AD34" s="395">
        <f t="shared" ca="1" si="19"/>
        <v>0</v>
      </c>
      <c r="AE34" s="395">
        <f t="shared" ca="1" si="20"/>
        <v>0</v>
      </c>
      <c r="AF34" s="395">
        <f t="shared" ca="1" si="21"/>
        <v>0</v>
      </c>
      <c r="AG34" s="395">
        <f t="shared" ca="1" si="22"/>
        <v>0</v>
      </c>
      <c r="AH34" s="395">
        <f t="shared" ca="1" si="23"/>
        <v>0</v>
      </c>
      <c r="AI34" s="395">
        <f t="shared" ca="1" si="24"/>
        <v>0</v>
      </c>
      <c r="AJ34" s="395">
        <f t="shared" ca="1" si="25"/>
        <v>0</v>
      </c>
      <c r="AK34" s="395">
        <f t="shared" ca="1" si="26"/>
        <v>0</v>
      </c>
      <c r="AL34" s="395">
        <f t="shared" ca="1" si="27"/>
        <v>0</v>
      </c>
      <c r="AM34" s="395">
        <f t="shared" ca="1" si="28"/>
        <v>0</v>
      </c>
      <c r="AN34" s="395">
        <f t="shared" ca="1" si="29"/>
        <v>0</v>
      </c>
      <c r="AO34" s="395">
        <f t="shared" ca="1" si="30"/>
        <v>0</v>
      </c>
      <c r="AP34" s="395">
        <f t="shared" ca="1" si="31"/>
        <v>0</v>
      </c>
      <c r="AQ34" s="395">
        <f t="shared" ca="1" si="32"/>
        <v>0</v>
      </c>
      <c r="AR34" s="395">
        <f t="shared" ca="1" si="33"/>
        <v>0</v>
      </c>
      <c r="AS34" s="395">
        <f t="shared" ca="1" si="34"/>
        <v>0</v>
      </c>
      <c r="AT34" s="395">
        <f t="shared" ca="1" si="35"/>
        <v>0</v>
      </c>
      <c r="AU34" s="395">
        <f t="shared" ca="1" si="36"/>
        <v>0</v>
      </c>
      <c r="AV34" s="395">
        <f t="shared" ca="1" si="37"/>
        <v>0</v>
      </c>
      <c r="AW34" s="395">
        <f t="shared" ca="1" si="38"/>
        <v>0</v>
      </c>
    </row>
    <row r="35" spans="1:49" s="392" customFormat="1" ht="12" customHeight="1">
      <c r="A35" s="63">
        <f t="array" aca="1" ref="A35" ca="1">IF(C35&lt;&gt;0,SUM(($C$11:C35&lt;&gt;0)*1),"")</f>
        <v>25</v>
      </c>
      <c r="B35" s="393">
        <f ca="1">IF(ROWS($1:25)&gt;COUNT(Dong9),"",OFFSET(TH!C$1,SMALL(Dong9,ROWS($1:25)),))</f>
        <v>41942</v>
      </c>
      <c r="C35" s="393" t="str">
        <f ca="1">IF(ROWS($1:25)&gt;COUNT(Dong9),"",OFFSET(TH!D$1,SMALL(Dong9,ROWS($1:25)),))</f>
        <v>GBN</v>
      </c>
      <c r="D35" s="393">
        <f ca="1">IF(ROWS($1:25)&gt;COUNT(Dong9),"",OFFSET(TH!E$1,SMALL(Dong9,ROWS($1:25)),))</f>
        <v>41942</v>
      </c>
      <c r="E35" s="443" t="str">
        <f ca="1">IF(ROWS($1:25)&gt;COUNT(Dong9),"",OFFSET(TH!F$1,SMALL(Dong9,ROWS($1:25)),))</f>
        <v xml:space="preserve">Phí chuyển tiền </v>
      </c>
      <c r="F35" s="444">
        <f ca="1">IF(ROWS($1:25)&gt;COUNT(Dong9),"",OFFSET(TH!I$1,SMALL(Dong9,ROWS($1:25)),))</f>
        <v>25000</v>
      </c>
      <c r="G35" s="456" t="str">
        <f ca="1">IF(ROWS($1:25)&gt;COUNT(Dong9),"",OFFSET(TH!J$1,SMALL(Dong9,ROWS($1:25)),))</f>
        <v>642</v>
      </c>
      <c r="H35" s="456" t="str">
        <f ca="1">IF(ROWS($1:25)&gt;COUNT(Dong9),"",OFFSET(TH!K$1,SMALL(Dong9,ROWS($1:25)),))</f>
        <v>1121</v>
      </c>
      <c r="I35" s="63">
        <f t="shared" ca="1" si="0"/>
        <v>25</v>
      </c>
      <c r="J35" s="395">
        <f t="shared" ca="1" si="1"/>
        <v>0</v>
      </c>
      <c r="K35" s="395">
        <f t="shared" ca="1" si="2"/>
        <v>0</v>
      </c>
      <c r="L35" s="395">
        <f t="shared" ca="1" si="3"/>
        <v>0</v>
      </c>
      <c r="M35" s="395">
        <f t="shared" ca="1" si="4"/>
        <v>25000</v>
      </c>
      <c r="N35" s="395">
        <f t="shared" ca="1" si="5"/>
        <v>0</v>
      </c>
      <c r="O35" s="395">
        <f t="shared" ca="1" si="6"/>
        <v>0</v>
      </c>
      <c r="P35" s="395">
        <f t="shared" ca="1" si="7"/>
        <v>0</v>
      </c>
      <c r="Q35" s="395">
        <f t="shared" ca="1" si="8"/>
        <v>0</v>
      </c>
      <c r="R35" s="395">
        <f t="shared" ca="1" si="39"/>
        <v>0</v>
      </c>
      <c r="S35" s="395">
        <f t="shared" ca="1" si="40"/>
        <v>0</v>
      </c>
      <c r="T35" s="395">
        <f t="shared" ca="1" si="9"/>
        <v>0</v>
      </c>
      <c r="U35" s="395">
        <f t="shared" ca="1" si="10"/>
        <v>0</v>
      </c>
      <c r="V35" s="395">
        <f t="shared" ca="1" si="11"/>
        <v>0</v>
      </c>
      <c r="W35" s="395">
        <f t="shared" ca="1" si="12"/>
        <v>0</v>
      </c>
      <c r="X35" s="395">
        <f t="shared" ca="1" si="13"/>
        <v>0</v>
      </c>
      <c r="Y35" s="395">
        <f t="shared" ca="1" si="14"/>
        <v>0</v>
      </c>
      <c r="Z35" s="395">
        <f t="shared" ca="1" si="15"/>
        <v>0</v>
      </c>
      <c r="AA35" s="395">
        <f t="shared" ca="1" si="16"/>
        <v>0</v>
      </c>
      <c r="AB35" s="395">
        <f t="shared" ca="1" si="17"/>
        <v>0</v>
      </c>
      <c r="AC35" s="395">
        <f t="shared" ca="1" si="18"/>
        <v>0</v>
      </c>
      <c r="AD35" s="395">
        <f t="shared" ca="1" si="19"/>
        <v>0</v>
      </c>
      <c r="AE35" s="395">
        <f t="shared" ca="1" si="20"/>
        <v>0</v>
      </c>
      <c r="AF35" s="395">
        <f t="shared" ca="1" si="21"/>
        <v>0</v>
      </c>
      <c r="AG35" s="395">
        <f t="shared" ca="1" si="22"/>
        <v>0</v>
      </c>
      <c r="AH35" s="395">
        <f t="shared" ca="1" si="23"/>
        <v>0</v>
      </c>
      <c r="AI35" s="395">
        <f t="shared" ca="1" si="24"/>
        <v>0</v>
      </c>
      <c r="AJ35" s="395">
        <f t="shared" ca="1" si="25"/>
        <v>0</v>
      </c>
      <c r="AK35" s="395">
        <f t="shared" ca="1" si="26"/>
        <v>0</v>
      </c>
      <c r="AL35" s="395">
        <f t="shared" ca="1" si="27"/>
        <v>0</v>
      </c>
      <c r="AM35" s="395">
        <f t="shared" ca="1" si="28"/>
        <v>0</v>
      </c>
      <c r="AN35" s="395">
        <f t="shared" ca="1" si="29"/>
        <v>25000</v>
      </c>
      <c r="AO35" s="395">
        <f t="shared" ca="1" si="30"/>
        <v>0</v>
      </c>
      <c r="AP35" s="395">
        <f t="shared" ca="1" si="31"/>
        <v>0</v>
      </c>
      <c r="AQ35" s="395">
        <f t="shared" ca="1" si="32"/>
        <v>0</v>
      </c>
      <c r="AR35" s="395">
        <f t="shared" ca="1" si="33"/>
        <v>0</v>
      </c>
      <c r="AS35" s="395">
        <f t="shared" ca="1" si="34"/>
        <v>0</v>
      </c>
      <c r="AT35" s="395">
        <f t="shared" ca="1" si="35"/>
        <v>0</v>
      </c>
      <c r="AU35" s="395">
        <f t="shared" ca="1" si="36"/>
        <v>0</v>
      </c>
      <c r="AV35" s="395">
        <f t="shared" ca="1" si="37"/>
        <v>0</v>
      </c>
      <c r="AW35" s="395">
        <f t="shared" ca="1" si="38"/>
        <v>0</v>
      </c>
    </row>
    <row r="36" spans="1:49" s="392" customFormat="1" ht="12" customHeight="1">
      <c r="A36" s="63">
        <f t="array" aca="1" ref="A36" ca="1">IF(C36&lt;&gt;0,SUM(($C$11:C36&lt;&gt;0)*1),"")</f>
        <v>26</v>
      </c>
      <c r="B36" s="393">
        <f ca="1">IF(ROWS($1:26)&gt;COUNT(Dong9),"",OFFSET(TH!C$1,SMALL(Dong9,ROWS($1:26)),))</f>
        <v>41942</v>
      </c>
      <c r="C36" s="393" t="str">
        <f ca="1">IF(ROWS($1:26)&gt;COUNT(Dong9),"",OFFSET(TH!D$1,SMALL(Dong9,ROWS($1:26)),))</f>
        <v>GBN</v>
      </c>
      <c r="D36" s="393">
        <f ca="1">IF(ROWS($1:26)&gt;COUNT(Dong9),"",OFFSET(TH!E$1,SMALL(Dong9,ROWS($1:26)),))</f>
        <v>41942</v>
      </c>
      <c r="E36" s="443" t="str">
        <f ca="1">IF(ROWS($1:26)&gt;COUNT(Dong9),"",OFFSET(TH!F$1,SMALL(Dong9,ROWS($1:26)),))</f>
        <v xml:space="preserve">VAT Phí chuyển tiền </v>
      </c>
      <c r="F36" s="444">
        <f ca="1">IF(ROWS($1:26)&gt;COUNT(Dong9),"",OFFSET(TH!I$1,SMALL(Dong9,ROWS($1:26)),))</f>
        <v>2500</v>
      </c>
      <c r="G36" s="456" t="str">
        <f ca="1">IF(ROWS($1:26)&gt;COUNT(Dong9),"",OFFSET(TH!J$1,SMALL(Dong9,ROWS($1:26)),))</f>
        <v>1331</v>
      </c>
      <c r="H36" s="456" t="str">
        <f ca="1">IF(ROWS($1:26)&gt;COUNT(Dong9),"",OFFSET(TH!K$1,SMALL(Dong9,ROWS($1:26)),))</f>
        <v>1121</v>
      </c>
      <c r="I36" s="63">
        <f t="shared" ca="1" si="0"/>
        <v>26</v>
      </c>
      <c r="J36" s="395">
        <f t="shared" ca="1" si="1"/>
        <v>0</v>
      </c>
      <c r="K36" s="395">
        <f t="shared" ca="1" si="2"/>
        <v>0</v>
      </c>
      <c r="L36" s="395">
        <f t="shared" ca="1" si="3"/>
        <v>0</v>
      </c>
      <c r="M36" s="395">
        <f t="shared" ca="1" si="4"/>
        <v>2500</v>
      </c>
      <c r="N36" s="395">
        <f t="shared" ca="1" si="5"/>
        <v>2500</v>
      </c>
      <c r="O36" s="395">
        <f t="shared" ca="1" si="6"/>
        <v>0</v>
      </c>
      <c r="P36" s="395">
        <f t="shared" ca="1" si="7"/>
        <v>0</v>
      </c>
      <c r="Q36" s="395">
        <f t="shared" ca="1" si="8"/>
        <v>0</v>
      </c>
      <c r="R36" s="395">
        <f t="shared" ca="1" si="39"/>
        <v>0</v>
      </c>
      <c r="S36" s="395">
        <f t="shared" ca="1" si="40"/>
        <v>0</v>
      </c>
      <c r="T36" s="395">
        <f t="shared" ca="1" si="9"/>
        <v>0</v>
      </c>
      <c r="U36" s="395">
        <f t="shared" ca="1" si="10"/>
        <v>0</v>
      </c>
      <c r="V36" s="395">
        <f t="shared" ca="1" si="11"/>
        <v>0</v>
      </c>
      <c r="W36" s="395">
        <f t="shared" ca="1" si="12"/>
        <v>0</v>
      </c>
      <c r="X36" s="395">
        <f t="shared" ca="1" si="13"/>
        <v>0</v>
      </c>
      <c r="Y36" s="395">
        <f t="shared" ca="1" si="14"/>
        <v>0</v>
      </c>
      <c r="Z36" s="395">
        <f t="shared" ca="1" si="15"/>
        <v>0</v>
      </c>
      <c r="AA36" s="395">
        <f t="shared" ca="1" si="16"/>
        <v>0</v>
      </c>
      <c r="AB36" s="395">
        <f t="shared" ca="1" si="17"/>
        <v>0</v>
      </c>
      <c r="AC36" s="395">
        <f t="shared" ca="1" si="18"/>
        <v>0</v>
      </c>
      <c r="AD36" s="395">
        <f t="shared" ca="1" si="19"/>
        <v>0</v>
      </c>
      <c r="AE36" s="395">
        <f t="shared" ca="1" si="20"/>
        <v>0</v>
      </c>
      <c r="AF36" s="395">
        <f t="shared" ca="1" si="21"/>
        <v>0</v>
      </c>
      <c r="AG36" s="395">
        <f t="shared" ca="1" si="22"/>
        <v>0</v>
      </c>
      <c r="AH36" s="395">
        <f t="shared" ca="1" si="23"/>
        <v>0</v>
      </c>
      <c r="AI36" s="395">
        <f t="shared" ca="1" si="24"/>
        <v>0</v>
      </c>
      <c r="AJ36" s="395">
        <f t="shared" ca="1" si="25"/>
        <v>0</v>
      </c>
      <c r="AK36" s="395">
        <f t="shared" ca="1" si="26"/>
        <v>0</v>
      </c>
      <c r="AL36" s="395">
        <f t="shared" ca="1" si="27"/>
        <v>0</v>
      </c>
      <c r="AM36" s="395">
        <f t="shared" ca="1" si="28"/>
        <v>0</v>
      </c>
      <c r="AN36" s="395">
        <f t="shared" ca="1" si="29"/>
        <v>0</v>
      </c>
      <c r="AO36" s="395">
        <f t="shared" ca="1" si="30"/>
        <v>0</v>
      </c>
      <c r="AP36" s="395">
        <f t="shared" ca="1" si="31"/>
        <v>0</v>
      </c>
      <c r="AQ36" s="395">
        <f t="shared" ca="1" si="32"/>
        <v>0</v>
      </c>
      <c r="AR36" s="395">
        <f t="shared" ca="1" si="33"/>
        <v>0</v>
      </c>
      <c r="AS36" s="395">
        <f t="shared" ca="1" si="34"/>
        <v>0</v>
      </c>
      <c r="AT36" s="395">
        <f t="shared" ca="1" si="35"/>
        <v>0</v>
      </c>
      <c r="AU36" s="395">
        <f t="shared" ca="1" si="36"/>
        <v>0</v>
      </c>
      <c r="AV36" s="395">
        <f t="shared" ca="1" si="37"/>
        <v>0</v>
      </c>
      <c r="AW36" s="395">
        <f t="shared" ca="1" si="38"/>
        <v>0</v>
      </c>
    </row>
    <row r="37" spans="1:49" s="392" customFormat="1" ht="12" customHeight="1">
      <c r="A37" s="63">
        <f t="array" aca="1" ref="A37" ca="1">IF(C37&lt;&gt;0,SUM(($C$11:C37&lt;&gt;0)*1),"")</f>
        <v>27</v>
      </c>
      <c r="B37" s="393">
        <f ca="1">IF(ROWS($1:27)&gt;COUNT(Dong9),"",OFFSET(TH!C$1,SMALL(Dong9,ROWS($1:27)),))</f>
        <v>41942</v>
      </c>
      <c r="C37" s="393" t="str">
        <f ca="1">IF(ROWS($1:27)&gt;COUNT(Dong9),"",OFFSET(TH!D$1,SMALL(Dong9,ROWS($1:27)),))</f>
        <v>GBN</v>
      </c>
      <c r="D37" s="393">
        <f ca="1">IF(ROWS($1:27)&gt;COUNT(Dong9),"",OFFSET(TH!E$1,SMALL(Dong9,ROWS($1:27)),))</f>
        <v>41942</v>
      </c>
      <c r="E37" s="443" t="str">
        <f ca="1">IF(ROWS($1:27)&gt;COUNT(Dong9),"",OFFSET(TH!F$1,SMALL(Dong9,ROWS($1:27)),))</f>
        <v>Ứng tiền cọc betong Tân Tài</v>
      </c>
      <c r="F37" s="444">
        <f ca="1">IF(ROWS($1:27)&gt;COUNT(Dong9),"",OFFSET(TH!I$1,SMALL(Dong9,ROWS($1:27)),))</f>
        <v>49000000</v>
      </c>
      <c r="G37" s="456" t="str">
        <f ca="1">IF(ROWS($1:27)&gt;COUNT(Dong9),"",OFFSET(TH!J$1,SMALL(Dong9,ROWS($1:27)),))</f>
        <v>331</v>
      </c>
      <c r="H37" s="456" t="str">
        <f ca="1">IF(ROWS($1:27)&gt;COUNT(Dong9),"",OFFSET(TH!K$1,SMALL(Dong9,ROWS($1:27)),))</f>
        <v>1121</v>
      </c>
      <c r="I37" s="63">
        <f t="shared" ca="1" si="0"/>
        <v>27</v>
      </c>
      <c r="J37" s="395">
        <f t="shared" ca="1" si="1"/>
        <v>0</v>
      </c>
      <c r="K37" s="395">
        <f t="shared" ca="1" si="2"/>
        <v>0</v>
      </c>
      <c r="L37" s="395">
        <f t="shared" ca="1" si="3"/>
        <v>0</v>
      </c>
      <c r="M37" s="395">
        <f t="shared" ca="1" si="4"/>
        <v>49000000</v>
      </c>
      <c r="N37" s="395">
        <f t="shared" ca="1" si="5"/>
        <v>0</v>
      </c>
      <c r="O37" s="395">
        <f t="shared" ca="1" si="6"/>
        <v>0</v>
      </c>
      <c r="P37" s="395">
        <f t="shared" ca="1" si="7"/>
        <v>0</v>
      </c>
      <c r="Q37" s="395">
        <f t="shared" ca="1" si="8"/>
        <v>0</v>
      </c>
      <c r="R37" s="395">
        <f t="shared" ca="1" si="39"/>
        <v>0</v>
      </c>
      <c r="S37" s="395">
        <f t="shared" ca="1" si="40"/>
        <v>0</v>
      </c>
      <c r="T37" s="395">
        <f t="shared" ca="1" si="9"/>
        <v>49000000</v>
      </c>
      <c r="U37" s="395">
        <f t="shared" ca="1" si="10"/>
        <v>0</v>
      </c>
      <c r="V37" s="395">
        <f t="shared" ca="1" si="11"/>
        <v>0</v>
      </c>
      <c r="W37" s="395">
        <f t="shared" ca="1" si="12"/>
        <v>0</v>
      </c>
      <c r="X37" s="395">
        <f t="shared" ca="1" si="13"/>
        <v>0</v>
      </c>
      <c r="Y37" s="395">
        <f t="shared" ca="1" si="14"/>
        <v>0</v>
      </c>
      <c r="Z37" s="395">
        <f t="shared" ca="1" si="15"/>
        <v>0</v>
      </c>
      <c r="AA37" s="395">
        <f t="shared" ca="1" si="16"/>
        <v>0</v>
      </c>
      <c r="AB37" s="395">
        <f t="shared" ca="1" si="17"/>
        <v>0</v>
      </c>
      <c r="AC37" s="395">
        <f t="shared" ca="1" si="18"/>
        <v>0</v>
      </c>
      <c r="AD37" s="395">
        <f t="shared" ca="1" si="19"/>
        <v>0</v>
      </c>
      <c r="AE37" s="395">
        <f t="shared" ca="1" si="20"/>
        <v>0</v>
      </c>
      <c r="AF37" s="395">
        <f t="shared" ca="1" si="21"/>
        <v>0</v>
      </c>
      <c r="AG37" s="395">
        <f t="shared" ca="1" si="22"/>
        <v>0</v>
      </c>
      <c r="AH37" s="395">
        <f t="shared" ca="1" si="23"/>
        <v>0</v>
      </c>
      <c r="AI37" s="395">
        <f t="shared" ca="1" si="24"/>
        <v>0</v>
      </c>
      <c r="AJ37" s="395">
        <f t="shared" ca="1" si="25"/>
        <v>0</v>
      </c>
      <c r="AK37" s="395">
        <f t="shared" ca="1" si="26"/>
        <v>0</v>
      </c>
      <c r="AL37" s="395">
        <f t="shared" ca="1" si="27"/>
        <v>0</v>
      </c>
      <c r="AM37" s="395">
        <f t="shared" ca="1" si="28"/>
        <v>0</v>
      </c>
      <c r="AN37" s="395">
        <f t="shared" ca="1" si="29"/>
        <v>0</v>
      </c>
      <c r="AO37" s="395">
        <f t="shared" ca="1" si="30"/>
        <v>0</v>
      </c>
      <c r="AP37" s="395">
        <f t="shared" ca="1" si="31"/>
        <v>0</v>
      </c>
      <c r="AQ37" s="395">
        <f t="shared" ca="1" si="32"/>
        <v>0</v>
      </c>
      <c r="AR37" s="395">
        <f t="shared" ca="1" si="33"/>
        <v>0</v>
      </c>
      <c r="AS37" s="395">
        <f t="shared" ca="1" si="34"/>
        <v>0</v>
      </c>
      <c r="AT37" s="395">
        <f t="shared" ca="1" si="35"/>
        <v>0</v>
      </c>
      <c r="AU37" s="395">
        <f t="shared" ca="1" si="36"/>
        <v>0</v>
      </c>
      <c r="AV37" s="395">
        <f t="shared" ca="1" si="37"/>
        <v>0</v>
      </c>
      <c r="AW37" s="395">
        <f t="shared" ca="1" si="38"/>
        <v>0</v>
      </c>
    </row>
    <row r="38" spans="1:49" s="392" customFormat="1" ht="12" customHeight="1">
      <c r="A38" s="63">
        <f t="array" aca="1" ref="A38" ca="1">IF(C38&lt;&gt;0,SUM(($C$11:C38&lt;&gt;0)*1),"")</f>
        <v>28</v>
      </c>
      <c r="B38" s="393">
        <f ca="1">IF(ROWS($1:28)&gt;COUNT(Dong9),"",OFFSET(TH!C$1,SMALL(Dong9,ROWS($1:28)),))</f>
        <v>41942</v>
      </c>
      <c r="C38" s="393" t="str">
        <f ca="1">IF(ROWS($1:28)&gt;COUNT(Dong9),"",OFFSET(TH!D$1,SMALL(Dong9,ROWS($1:28)),))</f>
        <v>GBN</v>
      </c>
      <c r="D38" s="393">
        <f ca="1">IF(ROWS($1:28)&gt;COUNT(Dong9),"",OFFSET(TH!E$1,SMALL(Dong9,ROWS($1:28)),))</f>
        <v>41942</v>
      </c>
      <c r="E38" s="443" t="str">
        <f ca="1">IF(ROWS($1:28)&gt;COUNT(Dong9),"",OFFSET(TH!F$1,SMALL(Dong9,ROWS($1:28)),))</f>
        <v xml:space="preserve">Phí chuyển tiền </v>
      </c>
      <c r="F38" s="444">
        <f ca="1">IF(ROWS($1:28)&gt;COUNT(Dong9),"",OFFSET(TH!I$1,SMALL(Dong9,ROWS($1:28)),))</f>
        <v>25000</v>
      </c>
      <c r="G38" s="456" t="str">
        <f ca="1">IF(ROWS($1:28)&gt;COUNT(Dong9),"",OFFSET(TH!J$1,SMALL(Dong9,ROWS($1:28)),))</f>
        <v>642</v>
      </c>
      <c r="H38" s="456" t="str">
        <f ca="1">IF(ROWS($1:28)&gt;COUNT(Dong9),"",OFFSET(TH!K$1,SMALL(Dong9,ROWS($1:28)),))</f>
        <v>1121</v>
      </c>
      <c r="I38" s="63">
        <f t="shared" ca="1" si="0"/>
        <v>28</v>
      </c>
      <c r="J38" s="395">
        <f t="shared" ca="1" si="1"/>
        <v>0</v>
      </c>
      <c r="K38" s="395">
        <f t="shared" ca="1" si="2"/>
        <v>0</v>
      </c>
      <c r="L38" s="395">
        <f t="shared" ca="1" si="3"/>
        <v>0</v>
      </c>
      <c r="M38" s="395">
        <f t="shared" ca="1" si="4"/>
        <v>25000</v>
      </c>
      <c r="N38" s="395">
        <f t="shared" ca="1" si="5"/>
        <v>0</v>
      </c>
      <c r="O38" s="395">
        <f t="shared" ca="1" si="6"/>
        <v>0</v>
      </c>
      <c r="P38" s="395">
        <f t="shared" ca="1" si="7"/>
        <v>0</v>
      </c>
      <c r="Q38" s="395">
        <f t="shared" ca="1" si="8"/>
        <v>0</v>
      </c>
      <c r="R38" s="395">
        <f t="shared" ca="1" si="39"/>
        <v>0</v>
      </c>
      <c r="S38" s="395">
        <f t="shared" ca="1" si="40"/>
        <v>0</v>
      </c>
      <c r="T38" s="395">
        <f t="shared" ca="1" si="9"/>
        <v>0</v>
      </c>
      <c r="U38" s="395">
        <f t="shared" ca="1" si="10"/>
        <v>0</v>
      </c>
      <c r="V38" s="395">
        <f t="shared" ca="1" si="11"/>
        <v>0</v>
      </c>
      <c r="W38" s="395">
        <f t="shared" ca="1" si="12"/>
        <v>0</v>
      </c>
      <c r="X38" s="395">
        <f t="shared" ca="1" si="13"/>
        <v>0</v>
      </c>
      <c r="Y38" s="395">
        <f t="shared" ca="1" si="14"/>
        <v>0</v>
      </c>
      <c r="Z38" s="395">
        <f t="shared" ca="1" si="15"/>
        <v>0</v>
      </c>
      <c r="AA38" s="395">
        <f t="shared" ca="1" si="16"/>
        <v>0</v>
      </c>
      <c r="AB38" s="395">
        <f t="shared" ca="1" si="17"/>
        <v>0</v>
      </c>
      <c r="AC38" s="395">
        <f t="shared" ca="1" si="18"/>
        <v>0</v>
      </c>
      <c r="AD38" s="395">
        <f t="shared" ca="1" si="19"/>
        <v>0</v>
      </c>
      <c r="AE38" s="395">
        <f t="shared" ca="1" si="20"/>
        <v>0</v>
      </c>
      <c r="AF38" s="395">
        <f t="shared" ca="1" si="21"/>
        <v>0</v>
      </c>
      <c r="AG38" s="395">
        <f t="shared" ca="1" si="22"/>
        <v>0</v>
      </c>
      <c r="AH38" s="395">
        <f t="shared" ca="1" si="23"/>
        <v>0</v>
      </c>
      <c r="AI38" s="395">
        <f t="shared" ca="1" si="24"/>
        <v>0</v>
      </c>
      <c r="AJ38" s="395">
        <f t="shared" ca="1" si="25"/>
        <v>0</v>
      </c>
      <c r="AK38" s="395">
        <f t="shared" ca="1" si="26"/>
        <v>0</v>
      </c>
      <c r="AL38" s="395">
        <f t="shared" ca="1" si="27"/>
        <v>0</v>
      </c>
      <c r="AM38" s="395">
        <f t="shared" ca="1" si="28"/>
        <v>0</v>
      </c>
      <c r="AN38" s="395">
        <f t="shared" ca="1" si="29"/>
        <v>25000</v>
      </c>
      <c r="AO38" s="395">
        <f t="shared" ca="1" si="30"/>
        <v>0</v>
      </c>
      <c r="AP38" s="395">
        <f t="shared" ca="1" si="31"/>
        <v>0</v>
      </c>
      <c r="AQ38" s="395">
        <f t="shared" ca="1" si="32"/>
        <v>0</v>
      </c>
      <c r="AR38" s="395">
        <f t="shared" ca="1" si="33"/>
        <v>0</v>
      </c>
      <c r="AS38" s="395">
        <f t="shared" ca="1" si="34"/>
        <v>0</v>
      </c>
      <c r="AT38" s="395">
        <f t="shared" ca="1" si="35"/>
        <v>0</v>
      </c>
      <c r="AU38" s="395">
        <f t="shared" ca="1" si="36"/>
        <v>0</v>
      </c>
      <c r="AV38" s="395">
        <f t="shared" ca="1" si="37"/>
        <v>0</v>
      </c>
      <c r="AW38" s="395">
        <f t="shared" ca="1" si="38"/>
        <v>0</v>
      </c>
    </row>
    <row r="39" spans="1:49" s="392" customFormat="1" ht="12" customHeight="1">
      <c r="A39" s="63">
        <f t="array" aca="1" ref="A39" ca="1">IF(C39&lt;&gt;0,SUM(($C$11:C39&lt;&gt;0)*1),"")</f>
        <v>29</v>
      </c>
      <c r="B39" s="393">
        <f ca="1">IF(ROWS($1:29)&gt;COUNT(Dong9),"",OFFSET(TH!C$1,SMALL(Dong9,ROWS($1:29)),))</f>
        <v>41942</v>
      </c>
      <c r="C39" s="393" t="str">
        <f ca="1">IF(ROWS($1:29)&gt;COUNT(Dong9),"",OFFSET(TH!D$1,SMALL(Dong9,ROWS($1:29)),))</f>
        <v>GBN</v>
      </c>
      <c r="D39" s="393">
        <f ca="1">IF(ROWS($1:29)&gt;COUNT(Dong9),"",OFFSET(TH!E$1,SMALL(Dong9,ROWS($1:29)),))</f>
        <v>41942</v>
      </c>
      <c r="E39" s="443" t="str">
        <f ca="1">IF(ROWS($1:29)&gt;COUNT(Dong9),"",OFFSET(TH!F$1,SMALL(Dong9,ROWS($1:29)),))</f>
        <v xml:space="preserve">VAT Phí chuyển tiền </v>
      </c>
      <c r="F39" s="444">
        <f ca="1">IF(ROWS($1:29)&gt;COUNT(Dong9),"",OFFSET(TH!I$1,SMALL(Dong9,ROWS($1:29)),))</f>
        <v>2500</v>
      </c>
      <c r="G39" s="456" t="str">
        <f ca="1">IF(ROWS($1:29)&gt;COUNT(Dong9),"",OFFSET(TH!J$1,SMALL(Dong9,ROWS($1:29)),))</f>
        <v>1331</v>
      </c>
      <c r="H39" s="456" t="str">
        <f ca="1">IF(ROWS($1:29)&gt;COUNT(Dong9),"",OFFSET(TH!K$1,SMALL(Dong9,ROWS($1:29)),))</f>
        <v>1121</v>
      </c>
      <c r="I39" s="63">
        <f t="shared" ca="1" si="0"/>
        <v>29</v>
      </c>
      <c r="J39" s="395">
        <f t="shared" ca="1" si="1"/>
        <v>0</v>
      </c>
      <c r="K39" s="395">
        <f t="shared" ca="1" si="2"/>
        <v>0</v>
      </c>
      <c r="L39" s="395">
        <f t="shared" ca="1" si="3"/>
        <v>0</v>
      </c>
      <c r="M39" s="395">
        <f t="shared" ca="1" si="4"/>
        <v>2500</v>
      </c>
      <c r="N39" s="395">
        <f t="shared" ca="1" si="5"/>
        <v>2500</v>
      </c>
      <c r="O39" s="395">
        <f t="shared" ca="1" si="6"/>
        <v>0</v>
      </c>
      <c r="P39" s="395">
        <f t="shared" ca="1" si="7"/>
        <v>0</v>
      </c>
      <c r="Q39" s="395">
        <f t="shared" ca="1" si="8"/>
        <v>0</v>
      </c>
      <c r="R39" s="395">
        <f t="shared" ca="1" si="39"/>
        <v>0</v>
      </c>
      <c r="S39" s="395">
        <f t="shared" ca="1" si="40"/>
        <v>0</v>
      </c>
      <c r="T39" s="395">
        <f t="shared" ca="1" si="9"/>
        <v>0</v>
      </c>
      <c r="U39" s="395">
        <f t="shared" ca="1" si="10"/>
        <v>0</v>
      </c>
      <c r="V39" s="395">
        <f t="shared" ca="1" si="11"/>
        <v>0</v>
      </c>
      <c r="W39" s="395">
        <f t="shared" ca="1" si="12"/>
        <v>0</v>
      </c>
      <c r="X39" s="395">
        <f t="shared" ca="1" si="13"/>
        <v>0</v>
      </c>
      <c r="Y39" s="395">
        <f t="shared" ca="1" si="14"/>
        <v>0</v>
      </c>
      <c r="Z39" s="395">
        <f t="shared" ca="1" si="15"/>
        <v>0</v>
      </c>
      <c r="AA39" s="395">
        <f t="shared" ca="1" si="16"/>
        <v>0</v>
      </c>
      <c r="AB39" s="395">
        <f t="shared" ca="1" si="17"/>
        <v>0</v>
      </c>
      <c r="AC39" s="395">
        <f t="shared" ca="1" si="18"/>
        <v>0</v>
      </c>
      <c r="AD39" s="395">
        <f t="shared" ca="1" si="19"/>
        <v>0</v>
      </c>
      <c r="AE39" s="395">
        <f t="shared" ca="1" si="20"/>
        <v>0</v>
      </c>
      <c r="AF39" s="395">
        <f t="shared" ca="1" si="21"/>
        <v>0</v>
      </c>
      <c r="AG39" s="395">
        <f t="shared" ca="1" si="22"/>
        <v>0</v>
      </c>
      <c r="AH39" s="395">
        <f t="shared" ca="1" si="23"/>
        <v>0</v>
      </c>
      <c r="AI39" s="395">
        <f t="shared" ca="1" si="24"/>
        <v>0</v>
      </c>
      <c r="AJ39" s="395">
        <f t="shared" ca="1" si="25"/>
        <v>0</v>
      </c>
      <c r="AK39" s="395">
        <f t="shared" ca="1" si="26"/>
        <v>0</v>
      </c>
      <c r="AL39" s="395">
        <f t="shared" ca="1" si="27"/>
        <v>0</v>
      </c>
      <c r="AM39" s="395">
        <f t="shared" ca="1" si="28"/>
        <v>0</v>
      </c>
      <c r="AN39" s="395">
        <f t="shared" ca="1" si="29"/>
        <v>0</v>
      </c>
      <c r="AO39" s="395">
        <f t="shared" ca="1" si="30"/>
        <v>0</v>
      </c>
      <c r="AP39" s="395">
        <f t="shared" ca="1" si="31"/>
        <v>0</v>
      </c>
      <c r="AQ39" s="395">
        <f t="shared" ca="1" si="32"/>
        <v>0</v>
      </c>
      <c r="AR39" s="395">
        <f t="shared" ca="1" si="33"/>
        <v>0</v>
      </c>
      <c r="AS39" s="395">
        <f t="shared" ca="1" si="34"/>
        <v>0</v>
      </c>
      <c r="AT39" s="395">
        <f t="shared" ca="1" si="35"/>
        <v>0</v>
      </c>
      <c r="AU39" s="395">
        <f t="shared" ca="1" si="36"/>
        <v>0</v>
      </c>
      <c r="AV39" s="395">
        <f t="shared" ca="1" si="37"/>
        <v>0</v>
      </c>
      <c r="AW39" s="395">
        <f t="shared" ca="1" si="38"/>
        <v>0</v>
      </c>
    </row>
    <row r="40" spans="1:49" s="392" customFormat="1" ht="12" customHeight="1">
      <c r="A40" s="63">
        <f t="array" aca="1" ref="A40" ca="1">IF(C40&lt;&gt;0,SUM(($C$11:C40&lt;&gt;0)*1),"")</f>
        <v>30</v>
      </c>
      <c r="B40" s="393">
        <f ca="1">IF(ROWS($1:30)&gt;COUNT(Dong9),"",OFFSET(TH!C$1,SMALL(Dong9,ROWS($1:30)),))</f>
        <v>41942</v>
      </c>
      <c r="C40" s="393" t="str">
        <f ca="1">IF(ROWS($1:30)&gt;COUNT(Dong9),"",OFFSET(TH!D$1,SMALL(Dong9,ROWS($1:30)),))</f>
        <v>GBN</v>
      </c>
      <c r="D40" s="393">
        <f ca="1">IF(ROWS($1:30)&gt;COUNT(Dong9),"",OFFSET(TH!E$1,SMALL(Dong9,ROWS($1:30)),))</f>
        <v>41942</v>
      </c>
      <c r="E40" s="443" t="str">
        <f ca="1">IF(ROWS($1:30)&gt;COUNT(Dong9),"",OFFSET(TH!F$1,SMALL(Dong9,ROWS($1:30)),))</f>
        <v>Thanh toán tiền xây dựng</v>
      </c>
      <c r="F40" s="444">
        <f ca="1">IF(ROWS($1:30)&gt;COUNT(Dong9),"",OFFSET(TH!I$1,SMALL(Dong9,ROWS($1:30)),))</f>
        <v>500000000</v>
      </c>
      <c r="G40" s="456" t="str">
        <f ca="1">IF(ROWS($1:30)&gt;COUNT(Dong9),"",OFFSET(TH!J$1,SMALL(Dong9,ROWS($1:30)),))</f>
        <v>331</v>
      </c>
      <c r="H40" s="456" t="str">
        <f ca="1">IF(ROWS($1:30)&gt;COUNT(Dong9),"",OFFSET(TH!K$1,SMALL(Dong9,ROWS($1:30)),))</f>
        <v>1121</v>
      </c>
      <c r="I40" s="63">
        <f t="shared" ca="1" si="0"/>
        <v>30</v>
      </c>
      <c r="J40" s="395">
        <f t="shared" ca="1" si="1"/>
        <v>0</v>
      </c>
      <c r="K40" s="395">
        <f t="shared" ca="1" si="2"/>
        <v>0</v>
      </c>
      <c r="L40" s="395">
        <f t="shared" ca="1" si="3"/>
        <v>0</v>
      </c>
      <c r="M40" s="395">
        <f t="shared" ca="1" si="4"/>
        <v>500000000</v>
      </c>
      <c r="N40" s="395">
        <f t="shared" ca="1" si="5"/>
        <v>0</v>
      </c>
      <c r="O40" s="395">
        <f t="shared" ca="1" si="6"/>
        <v>0</v>
      </c>
      <c r="P40" s="395">
        <f t="shared" ca="1" si="7"/>
        <v>0</v>
      </c>
      <c r="Q40" s="395">
        <f t="shared" ca="1" si="8"/>
        <v>0</v>
      </c>
      <c r="R40" s="395">
        <f t="shared" ca="1" si="39"/>
        <v>0</v>
      </c>
      <c r="S40" s="395">
        <f t="shared" ca="1" si="40"/>
        <v>0</v>
      </c>
      <c r="T40" s="395">
        <f t="shared" ca="1" si="9"/>
        <v>500000000</v>
      </c>
      <c r="U40" s="395">
        <f t="shared" ca="1" si="10"/>
        <v>0</v>
      </c>
      <c r="V40" s="395">
        <f t="shared" ca="1" si="11"/>
        <v>0</v>
      </c>
      <c r="W40" s="395">
        <f t="shared" ca="1" si="12"/>
        <v>0</v>
      </c>
      <c r="X40" s="395">
        <f t="shared" ca="1" si="13"/>
        <v>0</v>
      </c>
      <c r="Y40" s="395">
        <f t="shared" ca="1" si="14"/>
        <v>0</v>
      </c>
      <c r="Z40" s="395">
        <f t="shared" ca="1" si="15"/>
        <v>0</v>
      </c>
      <c r="AA40" s="395">
        <f t="shared" ca="1" si="16"/>
        <v>0</v>
      </c>
      <c r="AB40" s="395">
        <f t="shared" ca="1" si="17"/>
        <v>0</v>
      </c>
      <c r="AC40" s="395">
        <f t="shared" ca="1" si="18"/>
        <v>0</v>
      </c>
      <c r="AD40" s="395">
        <f t="shared" ca="1" si="19"/>
        <v>0</v>
      </c>
      <c r="AE40" s="395">
        <f t="shared" ca="1" si="20"/>
        <v>0</v>
      </c>
      <c r="AF40" s="395">
        <f t="shared" ca="1" si="21"/>
        <v>0</v>
      </c>
      <c r="AG40" s="395">
        <f t="shared" ca="1" si="22"/>
        <v>0</v>
      </c>
      <c r="AH40" s="395">
        <f t="shared" ca="1" si="23"/>
        <v>0</v>
      </c>
      <c r="AI40" s="395">
        <f t="shared" ca="1" si="24"/>
        <v>0</v>
      </c>
      <c r="AJ40" s="395">
        <f t="shared" ca="1" si="25"/>
        <v>0</v>
      </c>
      <c r="AK40" s="395">
        <f t="shared" ca="1" si="26"/>
        <v>0</v>
      </c>
      <c r="AL40" s="395">
        <f t="shared" ca="1" si="27"/>
        <v>0</v>
      </c>
      <c r="AM40" s="395">
        <f t="shared" ca="1" si="28"/>
        <v>0</v>
      </c>
      <c r="AN40" s="395">
        <f t="shared" ca="1" si="29"/>
        <v>0</v>
      </c>
      <c r="AO40" s="395">
        <f t="shared" ca="1" si="30"/>
        <v>0</v>
      </c>
      <c r="AP40" s="395">
        <f t="shared" ca="1" si="31"/>
        <v>0</v>
      </c>
      <c r="AQ40" s="395">
        <f t="shared" ca="1" si="32"/>
        <v>0</v>
      </c>
      <c r="AR40" s="395">
        <f t="shared" ca="1" si="33"/>
        <v>0</v>
      </c>
      <c r="AS40" s="395">
        <f t="shared" ca="1" si="34"/>
        <v>0</v>
      </c>
      <c r="AT40" s="395">
        <f t="shared" ca="1" si="35"/>
        <v>0</v>
      </c>
      <c r="AU40" s="395">
        <f t="shared" ca="1" si="36"/>
        <v>0</v>
      </c>
      <c r="AV40" s="395">
        <f t="shared" ca="1" si="37"/>
        <v>0</v>
      </c>
      <c r="AW40" s="395">
        <f t="shared" ca="1" si="38"/>
        <v>0</v>
      </c>
    </row>
    <row r="41" spans="1:49" s="392" customFormat="1" ht="12" customHeight="1">
      <c r="A41" s="63">
        <f t="array" aca="1" ref="A41" ca="1">IF(C41&lt;&gt;0,SUM(($C$11:C41&lt;&gt;0)*1),"")</f>
        <v>31</v>
      </c>
      <c r="B41" s="393">
        <f ca="1">IF(ROWS($1:31)&gt;COUNT(Dong9),"",OFFSET(TH!C$1,SMALL(Dong9,ROWS($1:31)),))</f>
        <v>41942</v>
      </c>
      <c r="C41" s="393" t="str">
        <f ca="1">IF(ROWS($1:31)&gt;COUNT(Dong9),"",OFFSET(TH!D$1,SMALL(Dong9,ROWS($1:31)),))</f>
        <v>GBN</v>
      </c>
      <c r="D41" s="393">
        <f ca="1">IF(ROWS($1:31)&gt;COUNT(Dong9),"",OFFSET(TH!E$1,SMALL(Dong9,ROWS($1:31)),))</f>
        <v>41942</v>
      </c>
      <c r="E41" s="443" t="str">
        <f ca="1">IF(ROWS($1:31)&gt;COUNT(Dong9),"",OFFSET(TH!F$1,SMALL(Dong9,ROWS($1:31)),))</f>
        <v xml:space="preserve">Phí chuyển tiền </v>
      </c>
      <c r="F41" s="444">
        <f ca="1">IF(ROWS($1:31)&gt;COUNT(Dong9),"",OFFSET(TH!I$1,SMALL(Dong9,ROWS($1:31)),))</f>
        <v>150000</v>
      </c>
      <c r="G41" s="456" t="str">
        <f ca="1">IF(ROWS($1:31)&gt;COUNT(Dong9),"",OFFSET(TH!J$1,SMALL(Dong9,ROWS($1:31)),))</f>
        <v>642</v>
      </c>
      <c r="H41" s="456" t="str">
        <f ca="1">IF(ROWS($1:31)&gt;COUNT(Dong9),"",OFFSET(TH!K$1,SMALL(Dong9,ROWS($1:31)),))</f>
        <v>1121</v>
      </c>
      <c r="I41" s="63">
        <f t="shared" ca="1" si="0"/>
        <v>31</v>
      </c>
      <c r="J41" s="395">
        <f t="shared" ca="1" si="1"/>
        <v>0</v>
      </c>
      <c r="K41" s="395">
        <f t="shared" ca="1" si="2"/>
        <v>0</v>
      </c>
      <c r="L41" s="395">
        <f t="shared" ca="1" si="3"/>
        <v>0</v>
      </c>
      <c r="M41" s="395">
        <f t="shared" ca="1" si="4"/>
        <v>150000</v>
      </c>
      <c r="N41" s="395">
        <f t="shared" ca="1" si="5"/>
        <v>0</v>
      </c>
      <c r="O41" s="395">
        <f t="shared" ca="1" si="6"/>
        <v>0</v>
      </c>
      <c r="P41" s="395">
        <f t="shared" ca="1" si="7"/>
        <v>0</v>
      </c>
      <c r="Q41" s="395">
        <f t="shared" ca="1" si="8"/>
        <v>0</v>
      </c>
      <c r="R41" s="395">
        <f t="shared" ca="1" si="39"/>
        <v>0</v>
      </c>
      <c r="S41" s="395">
        <f t="shared" ca="1" si="40"/>
        <v>0</v>
      </c>
      <c r="T41" s="395">
        <f t="shared" ca="1" si="9"/>
        <v>0</v>
      </c>
      <c r="U41" s="395">
        <f t="shared" ca="1" si="10"/>
        <v>0</v>
      </c>
      <c r="V41" s="395">
        <f t="shared" ca="1" si="11"/>
        <v>0</v>
      </c>
      <c r="W41" s="395">
        <f t="shared" ca="1" si="12"/>
        <v>0</v>
      </c>
      <c r="X41" s="395">
        <f t="shared" ca="1" si="13"/>
        <v>0</v>
      </c>
      <c r="Y41" s="395">
        <f t="shared" ca="1" si="14"/>
        <v>0</v>
      </c>
      <c r="Z41" s="395">
        <f t="shared" ca="1" si="15"/>
        <v>0</v>
      </c>
      <c r="AA41" s="395">
        <f t="shared" ca="1" si="16"/>
        <v>0</v>
      </c>
      <c r="AB41" s="395">
        <f t="shared" ca="1" si="17"/>
        <v>0</v>
      </c>
      <c r="AC41" s="395">
        <f t="shared" ca="1" si="18"/>
        <v>0</v>
      </c>
      <c r="AD41" s="395">
        <f t="shared" ca="1" si="19"/>
        <v>0</v>
      </c>
      <c r="AE41" s="395">
        <f t="shared" ca="1" si="20"/>
        <v>0</v>
      </c>
      <c r="AF41" s="395">
        <f t="shared" ca="1" si="21"/>
        <v>0</v>
      </c>
      <c r="AG41" s="395">
        <f t="shared" ca="1" si="22"/>
        <v>0</v>
      </c>
      <c r="AH41" s="395">
        <f t="shared" ca="1" si="23"/>
        <v>0</v>
      </c>
      <c r="AI41" s="395">
        <f t="shared" ca="1" si="24"/>
        <v>0</v>
      </c>
      <c r="AJ41" s="395">
        <f t="shared" ca="1" si="25"/>
        <v>0</v>
      </c>
      <c r="AK41" s="395">
        <f t="shared" ca="1" si="26"/>
        <v>0</v>
      </c>
      <c r="AL41" s="395">
        <f t="shared" ca="1" si="27"/>
        <v>0</v>
      </c>
      <c r="AM41" s="395">
        <f t="shared" ca="1" si="28"/>
        <v>0</v>
      </c>
      <c r="AN41" s="395">
        <f t="shared" ca="1" si="29"/>
        <v>150000</v>
      </c>
      <c r="AO41" s="395">
        <f t="shared" ca="1" si="30"/>
        <v>0</v>
      </c>
      <c r="AP41" s="395">
        <f t="shared" ca="1" si="31"/>
        <v>0</v>
      </c>
      <c r="AQ41" s="395">
        <f t="shared" ca="1" si="32"/>
        <v>0</v>
      </c>
      <c r="AR41" s="395">
        <f t="shared" ca="1" si="33"/>
        <v>0</v>
      </c>
      <c r="AS41" s="395">
        <f t="shared" ca="1" si="34"/>
        <v>0</v>
      </c>
      <c r="AT41" s="395">
        <f t="shared" ca="1" si="35"/>
        <v>0</v>
      </c>
      <c r="AU41" s="395">
        <f t="shared" ca="1" si="36"/>
        <v>0</v>
      </c>
      <c r="AV41" s="395">
        <f t="shared" ca="1" si="37"/>
        <v>0</v>
      </c>
      <c r="AW41" s="395">
        <f t="shared" ca="1" si="38"/>
        <v>0</v>
      </c>
    </row>
    <row r="42" spans="1:49" s="392" customFormat="1" ht="12" customHeight="1">
      <c r="A42" s="63">
        <f t="array" aca="1" ref="A42" ca="1">IF(C42&lt;&gt;0,SUM(($C$11:C42&lt;&gt;0)*1),"")</f>
        <v>32</v>
      </c>
      <c r="B42" s="393">
        <f ca="1">IF(ROWS($1:32)&gt;COUNT(Dong9),"",OFFSET(TH!C$1,SMALL(Dong9,ROWS($1:32)),))</f>
        <v>41942</v>
      </c>
      <c r="C42" s="393" t="str">
        <f ca="1">IF(ROWS($1:32)&gt;COUNT(Dong9),"",OFFSET(TH!D$1,SMALL(Dong9,ROWS($1:32)),))</f>
        <v>GBN</v>
      </c>
      <c r="D42" s="393">
        <f ca="1">IF(ROWS($1:32)&gt;COUNT(Dong9),"",OFFSET(TH!E$1,SMALL(Dong9,ROWS($1:32)),))</f>
        <v>41942</v>
      </c>
      <c r="E42" s="443" t="str">
        <f ca="1">IF(ROWS($1:32)&gt;COUNT(Dong9),"",OFFSET(TH!F$1,SMALL(Dong9,ROWS($1:32)),))</f>
        <v xml:space="preserve">VAT Phí chuyển tiền </v>
      </c>
      <c r="F42" s="444">
        <f ca="1">IF(ROWS($1:32)&gt;COUNT(Dong9),"",OFFSET(TH!I$1,SMALL(Dong9,ROWS($1:32)),))</f>
        <v>15000</v>
      </c>
      <c r="G42" s="456" t="str">
        <f ca="1">IF(ROWS($1:32)&gt;COUNT(Dong9),"",OFFSET(TH!J$1,SMALL(Dong9,ROWS($1:32)),))</f>
        <v>1331</v>
      </c>
      <c r="H42" s="456" t="str">
        <f ca="1">IF(ROWS($1:32)&gt;COUNT(Dong9),"",OFFSET(TH!K$1,SMALL(Dong9,ROWS($1:32)),))</f>
        <v>1121</v>
      </c>
      <c r="I42" s="63">
        <f t="shared" ca="1" si="0"/>
        <v>32</v>
      </c>
      <c r="J42" s="395">
        <f t="shared" ca="1" si="1"/>
        <v>0</v>
      </c>
      <c r="K42" s="395">
        <f t="shared" ca="1" si="2"/>
        <v>0</v>
      </c>
      <c r="L42" s="395">
        <f t="shared" ca="1" si="3"/>
        <v>0</v>
      </c>
      <c r="M42" s="395">
        <f t="shared" ca="1" si="4"/>
        <v>15000</v>
      </c>
      <c r="N42" s="395">
        <f t="shared" ca="1" si="5"/>
        <v>15000</v>
      </c>
      <c r="O42" s="395">
        <f t="shared" ca="1" si="6"/>
        <v>0</v>
      </c>
      <c r="P42" s="395">
        <f t="shared" ca="1" si="7"/>
        <v>0</v>
      </c>
      <c r="Q42" s="395">
        <f t="shared" ca="1" si="8"/>
        <v>0</v>
      </c>
      <c r="R42" s="395">
        <f t="shared" ca="1" si="39"/>
        <v>0</v>
      </c>
      <c r="S42" s="395">
        <f t="shared" ca="1" si="40"/>
        <v>0</v>
      </c>
      <c r="T42" s="395">
        <f t="shared" ca="1" si="9"/>
        <v>0</v>
      </c>
      <c r="U42" s="395">
        <f t="shared" ca="1" si="10"/>
        <v>0</v>
      </c>
      <c r="V42" s="395">
        <f t="shared" ca="1" si="11"/>
        <v>0</v>
      </c>
      <c r="W42" s="395">
        <f t="shared" ca="1" si="12"/>
        <v>0</v>
      </c>
      <c r="X42" s="395">
        <f t="shared" ca="1" si="13"/>
        <v>0</v>
      </c>
      <c r="Y42" s="395">
        <f t="shared" ca="1" si="14"/>
        <v>0</v>
      </c>
      <c r="Z42" s="395">
        <f t="shared" ca="1" si="15"/>
        <v>0</v>
      </c>
      <c r="AA42" s="395">
        <f t="shared" ca="1" si="16"/>
        <v>0</v>
      </c>
      <c r="AB42" s="395">
        <f t="shared" ca="1" si="17"/>
        <v>0</v>
      </c>
      <c r="AC42" s="395">
        <f t="shared" ca="1" si="18"/>
        <v>0</v>
      </c>
      <c r="AD42" s="395">
        <f t="shared" ca="1" si="19"/>
        <v>0</v>
      </c>
      <c r="AE42" s="395">
        <f t="shared" ca="1" si="20"/>
        <v>0</v>
      </c>
      <c r="AF42" s="395">
        <f t="shared" ca="1" si="21"/>
        <v>0</v>
      </c>
      <c r="AG42" s="395">
        <f t="shared" ca="1" si="22"/>
        <v>0</v>
      </c>
      <c r="AH42" s="395">
        <f t="shared" ca="1" si="23"/>
        <v>0</v>
      </c>
      <c r="AI42" s="395">
        <f t="shared" ca="1" si="24"/>
        <v>0</v>
      </c>
      <c r="AJ42" s="395">
        <f t="shared" ca="1" si="25"/>
        <v>0</v>
      </c>
      <c r="AK42" s="395">
        <f t="shared" ca="1" si="26"/>
        <v>0</v>
      </c>
      <c r="AL42" s="395">
        <f t="shared" ca="1" si="27"/>
        <v>0</v>
      </c>
      <c r="AM42" s="395">
        <f t="shared" ca="1" si="28"/>
        <v>0</v>
      </c>
      <c r="AN42" s="395">
        <f t="shared" ca="1" si="29"/>
        <v>0</v>
      </c>
      <c r="AO42" s="395">
        <f t="shared" ca="1" si="30"/>
        <v>0</v>
      </c>
      <c r="AP42" s="395">
        <f t="shared" ca="1" si="31"/>
        <v>0</v>
      </c>
      <c r="AQ42" s="395">
        <f t="shared" ca="1" si="32"/>
        <v>0</v>
      </c>
      <c r="AR42" s="395">
        <f t="shared" ca="1" si="33"/>
        <v>0</v>
      </c>
      <c r="AS42" s="395">
        <f t="shared" ca="1" si="34"/>
        <v>0</v>
      </c>
      <c r="AT42" s="395">
        <f t="shared" ca="1" si="35"/>
        <v>0</v>
      </c>
      <c r="AU42" s="395">
        <f t="shared" ca="1" si="36"/>
        <v>0</v>
      </c>
      <c r="AV42" s="395">
        <f t="shared" ca="1" si="37"/>
        <v>0</v>
      </c>
      <c r="AW42" s="395">
        <f t="shared" ca="1" si="38"/>
        <v>0</v>
      </c>
    </row>
    <row r="43" spans="1:49" s="392" customFormat="1" ht="12" customHeight="1">
      <c r="A43" s="63">
        <f t="array" aca="1" ref="A43" ca="1">IF(C43&lt;&gt;0,SUM(($C$11:C43&lt;&gt;0)*1),"")</f>
        <v>33</v>
      </c>
      <c r="B43" s="393">
        <f ca="1">IF(ROWS($1:33)&gt;COUNT(Dong9),"",OFFSET(TH!C$1,SMALL(Dong9,ROWS($1:33)),))</f>
        <v>41943</v>
      </c>
      <c r="C43" s="393" t="str">
        <f ca="1">IF(ROWS($1:33)&gt;COUNT(Dong9),"",OFFSET(TH!D$1,SMALL(Dong9,ROWS($1:33)),))</f>
        <v>CTGS</v>
      </c>
      <c r="D43" s="393">
        <f ca="1">IF(ROWS($1:33)&gt;COUNT(Dong9),"",OFFSET(TH!E$1,SMALL(Dong9,ROWS($1:33)),))</f>
        <v>41943</v>
      </c>
      <c r="E43" s="443" t="str">
        <f ca="1">IF(ROWS($1:33)&gt;COUNT(Dong9),"",OFFSET(TH!F$1,SMALL(Dong9,ROWS($1:33)),))</f>
        <v>Tiền mạng lưới cấp thoát nước</v>
      </c>
      <c r="F43" s="444">
        <f ca="1">IF(ROWS($1:33)&gt;COUNT(Dong9),"",OFFSET(TH!I$1,SMALL(Dong9,ROWS($1:33)),))</f>
        <v>14842908</v>
      </c>
      <c r="G43" s="456" t="str">
        <f ca="1">IF(ROWS($1:33)&gt;COUNT(Dong9),"",OFFSET(TH!J$1,SMALL(Dong9,ROWS($1:33)),))</f>
        <v>2412</v>
      </c>
      <c r="H43" s="456" t="str">
        <f ca="1">IF(ROWS($1:33)&gt;COUNT(Dong9),"",OFFSET(TH!K$1,SMALL(Dong9,ROWS($1:33)),))</f>
        <v>331</v>
      </c>
      <c r="I43" s="63">
        <f t="shared" ca="1" si="0"/>
        <v>33</v>
      </c>
      <c r="J43" s="395">
        <f t="shared" ca="1" si="1"/>
        <v>0</v>
      </c>
      <c r="K43" s="395">
        <f t="shared" ca="1" si="2"/>
        <v>0</v>
      </c>
      <c r="L43" s="395">
        <f t="shared" ca="1" si="3"/>
        <v>0</v>
      </c>
      <c r="M43" s="395">
        <f t="shared" ca="1" si="4"/>
        <v>0</v>
      </c>
      <c r="N43" s="395">
        <f t="shared" ca="1" si="5"/>
        <v>0</v>
      </c>
      <c r="O43" s="395">
        <f t="shared" ca="1" si="6"/>
        <v>0</v>
      </c>
      <c r="P43" s="395">
        <f t="shared" ca="1" si="7"/>
        <v>0</v>
      </c>
      <c r="Q43" s="395">
        <f t="shared" ca="1" si="8"/>
        <v>0</v>
      </c>
      <c r="R43" s="395">
        <f t="shared" ca="1" si="39"/>
        <v>14842908</v>
      </c>
      <c r="S43" s="395">
        <f t="shared" ca="1" si="40"/>
        <v>0</v>
      </c>
      <c r="T43" s="395">
        <f t="shared" ca="1" si="9"/>
        <v>0</v>
      </c>
      <c r="U43" s="395">
        <f t="shared" ca="1" si="10"/>
        <v>14842908</v>
      </c>
      <c r="V43" s="395">
        <f t="shared" ca="1" si="11"/>
        <v>0</v>
      </c>
      <c r="W43" s="395">
        <f t="shared" ca="1" si="12"/>
        <v>0</v>
      </c>
      <c r="X43" s="395">
        <f t="shared" ca="1" si="13"/>
        <v>0</v>
      </c>
      <c r="Y43" s="395">
        <f t="shared" ca="1" si="14"/>
        <v>0</v>
      </c>
      <c r="Z43" s="395">
        <f t="shared" ca="1" si="15"/>
        <v>0</v>
      </c>
      <c r="AA43" s="395">
        <f t="shared" ca="1" si="16"/>
        <v>0</v>
      </c>
      <c r="AB43" s="395">
        <f t="shared" ca="1" si="17"/>
        <v>0</v>
      </c>
      <c r="AC43" s="395">
        <f t="shared" ca="1" si="18"/>
        <v>0</v>
      </c>
      <c r="AD43" s="395">
        <f t="shared" ca="1" si="19"/>
        <v>0</v>
      </c>
      <c r="AE43" s="395">
        <f t="shared" ca="1" si="20"/>
        <v>0</v>
      </c>
      <c r="AF43" s="395">
        <f t="shared" ca="1" si="21"/>
        <v>0</v>
      </c>
      <c r="AG43" s="395">
        <f t="shared" ca="1" si="22"/>
        <v>0</v>
      </c>
      <c r="AH43" s="395">
        <f t="shared" ca="1" si="23"/>
        <v>0</v>
      </c>
      <c r="AI43" s="395">
        <f t="shared" ca="1" si="24"/>
        <v>0</v>
      </c>
      <c r="AJ43" s="395">
        <f t="shared" ca="1" si="25"/>
        <v>0</v>
      </c>
      <c r="AK43" s="395">
        <f t="shared" ca="1" si="26"/>
        <v>0</v>
      </c>
      <c r="AL43" s="395">
        <f t="shared" ca="1" si="27"/>
        <v>0</v>
      </c>
      <c r="AM43" s="395">
        <f t="shared" ca="1" si="28"/>
        <v>0</v>
      </c>
      <c r="AN43" s="395">
        <f t="shared" ca="1" si="29"/>
        <v>0</v>
      </c>
      <c r="AO43" s="395">
        <f t="shared" ca="1" si="30"/>
        <v>0</v>
      </c>
      <c r="AP43" s="395">
        <f t="shared" ca="1" si="31"/>
        <v>0</v>
      </c>
      <c r="AQ43" s="395">
        <f t="shared" ca="1" si="32"/>
        <v>0</v>
      </c>
      <c r="AR43" s="395">
        <f t="shared" ca="1" si="33"/>
        <v>0</v>
      </c>
      <c r="AS43" s="395">
        <f t="shared" ca="1" si="34"/>
        <v>0</v>
      </c>
      <c r="AT43" s="395">
        <f t="shared" ca="1" si="35"/>
        <v>0</v>
      </c>
      <c r="AU43" s="395">
        <f t="shared" ca="1" si="36"/>
        <v>0</v>
      </c>
      <c r="AV43" s="395">
        <f t="shared" ca="1" si="37"/>
        <v>0</v>
      </c>
      <c r="AW43" s="395">
        <f t="shared" ca="1" si="38"/>
        <v>0</v>
      </c>
    </row>
    <row r="44" spans="1:49" s="392" customFormat="1" ht="12" customHeight="1">
      <c r="A44" s="63">
        <f t="array" aca="1" ref="A44" ca="1">IF(C44&lt;&gt;0,SUM(($C$11:C44&lt;&gt;0)*1),"")</f>
        <v>34</v>
      </c>
      <c r="B44" s="393">
        <f ca="1">IF(ROWS($1:34)&gt;COUNT(Dong9),"",OFFSET(TH!C$1,SMALL(Dong9,ROWS($1:34)),))</f>
        <v>41943</v>
      </c>
      <c r="C44" s="393" t="str">
        <f ca="1">IF(ROWS($1:34)&gt;COUNT(Dong9),"",OFFSET(TH!D$1,SMALL(Dong9,ROWS($1:34)),))</f>
        <v>CTGS</v>
      </c>
      <c r="D44" s="393">
        <f ca="1">IF(ROWS($1:34)&gt;COUNT(Dong9),"",OFFSET(TH!E$1,SMALL(Dong9,ROWS($1:34)),))</f>
        <v>41943</v>
      </c>
      <c r="E44" s="443" t="str">
        <f ca="1">IF(ROWS($1:34)&gt;COUNT(Dong9),"",OFFSET(TH!F$1,SMALL(Dong9,ROWS($1:34)),))</f>
        <v>VAT Tiền mạng lưới cấp thoát nước</v>
      </c>
      <c r="F44" s="444">
        <f ca="1">IF(ROWS($1:34)&gt;COUNT(Dong9),"",OFFSET(TH!I$1,SMALL(Dong9,ROWS($1:34)),))</f>
        <v>1484291</v>
      </c>
      <c r="G44" s="456" t="str">
        <f ca="1">IF(ROWS($1:34)&gt;COUNT(Dong9),"",OFFSET(TH!J$1,SMALL(Dong9,ROWS($1:34)),))</f>
        <v>1331</v>
      </c>
      <c r="H44" s="456" t="str">
        <f ca="1">IF(ROWS($1:34)&gt;COUNT(Dong9),"",OFFSET(TH!K$1,SMALL(Dong9,ROWS($1:34)),))</f>
        <v>331</v>
      </c>
      <c r="I44" s="63">
        <f t="shared" ca="1" si="0"/>
        <v>34</v>
      </c>
      <c r="J44" s="395">
        <f t="shared" ca="1" si="1"/>
        <v>0</v>
      </c>
      <c r="K44" s="395">
        <f t="shared" ca="1" si="2"/>
        <v>0</v>
      </c>
      <c r="L44" s="395">
        <f t="shared" ca="1" si="3"/>
        <v>0</v>
      </c>
      <c r="M44" s="395">
        <f t="shared" ca="1" si="4"/>
        <v>0</v>
      </c>
      <c r="N44" s="395">
        <f t="shared" ca="1" si="5"/>
        <v>1484291</v>
      </c>
      <c r="O44" s="395">
        <f t="shared" ca="1" si="6"/>
        <v>0</v>
      </c>
      <c r="P44" s="395">
        <f t="shared" ca="1" si="7"/>
        <v>0</v>
      </c>
      <c r="Q44" s="395">
        <f t="shared" ca="1" si="8"/>
        <v>0</v>
      </c>
      <c r="R44" s="395">
        <f t="shared" ca="1" si="39"/>
        <v>0</v>
      </c>
      <c r="S44" s="395">
        <f t="shared" ca="1" si="40"/>
        <v>0</v>
      </c>
      <c r="T44" s="395">
        <f t="shared" ca="1" si="9"/>
        <v>0</v>
      </c>
      <c r="U44" s="395">
        <f t="shared" ca="1" si="10"/>
        <v>1484291</v>
      </c>
      <c r="V44" s="395">
        <f t="shared" ca="1" si="11"/>
        <v>0</v>
      </c>
      <c r="W44" s="395">
        <f t="shared" ca="1" si="12"/>
        <v>0</v>
      </c>
      <c r="X44" s="395">
        <f t="shared" ca="1" si="13"/>
        <v>0</v>
      </c>
      <c r="Y44" s="395">
        <f t="shared" ca="1" si="14"/>
        <v>0</v>
      </c>
      <c r="Z44" s="395">
        <f t="shared" ca="1" si="15"/>
        <v>0</v>
      </c>
      <c r="AA44" s="395">
        <f t="shared" ca="1" si="16"/>
        <v>0</v>
      </c>
      <c r="AB44" s="395">
        <f t="shared" ca="1" si="17"/>
        <v>0</v>
      </c>
      <c r="AC44" s="395">
        <f t="shared" ca="1" si="18"/>
        <v>0</v>
      </c>
      <c r="AD44" s="395">
        <f t="shared" ca="1" si="19"/>
        <v>0</v>
      </c>
      <c r="AE44" s="395">
        <f t="shared" ca="1" si="20"/>
        <v>0</v>
      </c>
      <c r="AF44" s="395">
        <f t="shared" ca="1" si="21"/>
        <v>0</v>
      </c>
      <c r="AG44" s="395">
        <f t="shared" ca="1" si="22"/>
        <v>0</v>
      </c>
      <c r="AH44" s="395">
        <f t="shared" ca="1" si="23"/>
        <v>0</v>
      </c>
      <c r="AI44" s="395">
        <f t="shared" ca="1" si="24"/>
        <v>0</v>
      </c>
      <c r="AJ44" s="395">
        <f t="shared" ca="1" si="25"/>
        <v>0</v>
      </c>
      <c r="AK44" s="395">
        <f t="shared" ca="1" si="26"/>
        <v>0</v>
      </c>
      <c r="AL44" s="395">
        <f t="shared" ca="1" si="27"/>
        <v>0</v>
      </c>
      <c r="AM44" s="395">
        <f t="shared" ca="1" si="28"/>
        <v>0</v>
      </c>
      <c r="AN44" s="395">
        <f t="shared" ca="1" si="29"/>
        <v>0</v>
      </c>
      <c r="AO44" s="395">
        <f t="shared" ca="1" si="30"/>
        <v>0</v>
      </c>
      <c r="AP44" s="395">
        <f t="shared" ca="1" si="31"/>
        <v>0</v>
      </c>
      <c r="AQ44" s="395">
        <f t="shared" ca="1" si="32"/>
        <v>0</v>
      </c>
      <c r="AR44" s="395">
        <f t="shared" ca="1" si="33"/>
        <v>0</v>
      </c>
      <c r="AS44" s="395">
        <f t="shared" ca="1" si="34"/>
        <v>0</v>
      </c>
      <c r="AT44" s="395">
        <f t="shared" ca="1" si="35"/>
        <v>0</v>
      </c>
      <c r="AU44" s="395">
        <f t="shared" ca="1" si="36"/>
        <v>0</v>
      </c>
      <c r="AV44" s="395">
        <f t="shared" ca="1" si="37"/>
        <v>0</v>
      </c>
      <c r="AW44" s="395">
        <f t="shared" ca="1" si="38"/>
        <v>0</v>
      </c>
    </row>
    <row r="45" spans="1:49" s="392" customFormat="1" ht="12" customHeight="1">
      <c r="A45" s="63">
        <f t="array" aca="1" ref="A45" ca="1">IF(C45&lt;&gt;0,SUM(($C$11:C45&lt;&gt;0)*1),"")</f>
        <v>35</v>
      </c>
      <c r="B45" s="393">
        <f ca="1">IF(ROWS($1:35)&gt;COUNT(Dong9),"",OFFSET(TH!C$1,SMALL(Dong9,ROWS($1:35)),))</f>
        <v>41949</v>
      </c>
      <c r="C45" s="393" t="str">
        <f ca="1">IF(ROWS($1:35)&gt;COUNT(Dong9),"",OFFSET(TH!D$1,SMALL(Dong9,ROWS($1:35)),))</f>
        <v>C02</v>
      </c>
      <c r="D45" s="393">
        <f ca="1">IF(ROWS($1:35)&gt;COUNT(Dong9),"",OFFSET(TH!E$1,SMALL(Dong9,ROWS($1:35)),))</f>
        <v>41949</v>
      </c>
      <c r="E45" s="443" t="str">
        <f ca="1">IF(ROWS($1:35)&gt;COUNT(Dong9),"",OFFSET(TH!F$1,SMALL(Dong9,ROWS($1:35)),))</f>
        <v>Đăng kí chữ ký số</v>
      </c>
      <c r="F45" s="444">
        <f ca="1">IF(ROWS($1:35)&gt;COUNT(Dong9),"",OFFSET(TH!I$1,SMALL(Dong9,ROWS($1:35)),))</f>
        <v>2160000</v>
      </c>
      <c r="G45" s="456" t="str">
        <f ca="1">IF(ROWS($1:35)&gt;COUNT(Dong9),"",OFFSET(TH!J$1,SMALL(Dong9,ROWS($1:35)),))</f>
        <v>642</v>
      </c>
      <c r="H45" s="456" t="str">
        <f ca="1">IF(ROWS($1:35)&gt;COUNT(Dong9),"",OFFSET(TH!K$1,SMALL(Dong9,ROWS($1:35)),))</f>
        <v>1111</v>
      </c>
      <c r="I45" s="63">
        <f t="shared" ca="1" si="0"/>
        <v>35</v>
      </c>
      <c r="J45" s="395">
        <f t="shared" ca="1" si="1"/>
        <v>0</v>
      </c>
      <c r="K45" s="395">
        <f t="shared" ca="1" si="2"/>
        <v>2160000</v>
      </c>
      <c r="L45" s="395">
        <f t="shared" ca="1" si="3"/>
        <v>0</v>
      </c>
      <c r="M45" s="395">
        <f t="shared" ca="1" si="4"/>
        <v>0</v>
      </c>
      <c r="N45" s="395">
        <f t="shared" ca="1" si="5"/>
        <v>0</v>
      </c>
      <c r="O45" s="395">
        <f t="shared" ca="1" si="6"/>
        <v>0</v>
      </c>
      <c r="P45" s="395">
        <f t="shared" ca="1" si="7"/>
        <v>0</v>
      </c>
      <c r="Q45" s="395">
        <f t="shared" ca="1" si="8"/>
        <v>0</v>
      </c>
      <c r="R45" s="395">
        <f t="shared" ca="1" si="39"/>
        <v>0</v>
      </c>
      <c r="S45" s="395">
        <f t="shared" ca="1" si="40"/>
        <v>0</v>
      </c>
      <c r="T45" s="395">
        <f t="shared" ca="1" si="9"/>
        <v>0</v>
      </c>
      <c r="U45" s="395">
        <f t="shared" ca="1" si="10"/>
        <v>0</v>
      </c>
      <c r="V45" s="395">
        <f t="shared" ca="1" si="11"/>
        <v>0</v>
      </c>
      <c r="W45" s="395">
        <f t="shared" ca="1" si="12"/>
        <v>0</v>
      </c>
      <c r="X45" s="395">
        <f t="shared" ca="1" si="13"/>
        <v>0</v>
      </c>
      <c r="Y45" s="395">
        <f t="shared" ca="1" si="14"/>
        <v>0</v>
      </c>
      <c r="Z45" s="395">
        <f t="shared" ca="1" si="15"/>
        <v>0</v>
      </c>
      <c r="AA45" s="395">
        <f t="shared" ca="1" si="16"/>
        <v>0</v>
      </c>
      <c r="AB45" s="395">
        <f t="shared" ca="1" si="17"/>
        <v>0</v>
      </c>
      <c r="AC45" s="395">
        <f t="shared" ca="1" si="18"/>
        <v>0</v>
      </c>
      <c r="AD45" s="395">
        <f t="shared" ca="1" si="19"/>
        <v>0</v>
      </c>
      <c r="AE45" s="395">
        <f t="shared" ca="1" si="20"/>
        <v>0</v>
      </c>
      <c r="AF45" s="395">
        <f t="shared" ca="1" si="21"/>
        <v>0</v>
      </c>
      <c r="AG45" s="395">
        <f t="shared" ca="1" si="22"/>
        <v>0</v>
      </c>
      <c r="AH45" s="395">
        <f t="shared" ca="1" si="23"/>
        <v>0</v>
      </c>
      <c r="AI45" s="395">
        <f t="shared" ca="1" si="24"/>
        <v>0</v>
      </c>
      <c r="AJ45" s="395">
        <f t="shared" ca="1" si="25"/>
        <v>0</v>
      </c>
      <c r="AK45" s="395">
        <f t="shared" ca="1" si="26"/>
        <v>0</v>
      </c>
      <c r="AL45" s="395">
        <f t="shared" ca="1" si="27"/>
        <v>0</v>
      </c>
      <c r="AM45" s="395">
        <f t="shared" ca="1" si="28"/>
        <v>0</v>
      </c>
      <c r="AN45" s="395">
        <f t="shared" ca="1" si="29"/>
        <v>2160000</v>
      </c>
      <c r="AO45" s="395">
        <f t="shared" ca="1" si="30"/>
        <v>0</v>
      </c>
      <c r="AP45" s="395">
        <f t="shared" ca="1" si="31"/>
        <v>0</v>
      </c>
      <c r="AQ45" s="395">
        <f t="shared" ca="1" si="32"/>
        <v>0</v>
      </c>
      <c r="AR45" s="395">
        <f t="shared" ca="1" si="33"/>
        <v>0</v>
      </c>
      <c r="AS45" s="395">
        <f t="shared" ca="1" si="34"/>
        <v>0</v>
      </c>
      <c r="AT45" s="395">
        <f t="shared" ca="1" si="35"/>
        <v>0</v>
      </c>
      <c r="AU45" s="395">
        <f t="shared" ca="1" si="36"/>
        <v>0</v>
      </c>
      <c r="AV45" s="395">
        <f t="shared" ca="1" si="37"/>
        <v>0</v>
      </c>
      <c r="AW45" s="395">
        <f t="shared" ca="1" si="38"/>
        <v>0</v>
      </c>
    </row>
    <row r="46" spans="1:49" s="392" customFormat="1" ht="12" customHeight="1">
      <c r="A46" s="63">
        <f t="array" aca="1" ref="A46" ca="1">IF(C46&lt;&gt;0,SUM(($C$11:C46&lt;&gt;0)*1),"")</f>
        <v>36</v>
      </c>
      <c r="B46" s="393">
        <f ca="1">IF(ROWS($1:36)&gt;COUNT(Dong9),"",OFFSET(TH!C$1,SMALL(Dong9,ROWS($1:36)),))</f>
        <v>41949</v>
      </c>
      <c r="C46" s="393" t="str">
        <f ca="1">IF(ROWS($1:36)&gt;COUNT(Dong9),"",OFFSET(TH!D$1,SMALL(Dong9,ROWS($1:36)),))</f>
        <v>C02</v>
      </c>
      <c r="D46" s="393">
        <f ca="1">IF(ROWS($1:36)&gt;COUNT(Dong9),"",OFFSET(TH!E$1,SMALL(Dong9,ROWS($1:36)),))</f>
        <v>41949</v>
      </c>
      <c r="E46" s="443" t="str">
        <f ca="1">IF(ROWS($1:36)&gt;COUNT(Dong9),"",OFFSET(TH!F$1,SMALL(Dong9,ROWS($1:36)),))</f>
        <v>VAT Đăng kí chữ ký số</v>
      </c>
      <c r="F46" s="444">
        <f ca="1">IF(ROWS($1:36)&gt;COUNT(Dong9),"",OFFSET(TH!I$1,SMALL(Dong9,ROWS($1:36)),))</f>
        <v>216000</v>
      </c>
      <c r="G46" s="456" t="str">
        <f ca="1">IF(ROWS($1:36)&gt;COUNT(Dong9),"",OFFSET(TH!J$1,SMALL(Dong9,ROWS($1:36)),))</f>
        <v>1331</v>
      </c>
      <c r="H46" s="456" t="str">
        <f ca="1">IF(ROWS($1:36)&gt;COUNT(Dong9),"",OFFSET(TH!K$1,SMALL(Dong9,ROWS($1:36)),))</f>
        <v>1111</v>
      </c>
      <c r="I46" s="63">
        <f t="shared" ca="1" si="0"/>
        <v>36</v>
      </c>
      <c r="J46" s="395">
        <f t="shared" ca="1" si="1"/>
        <v>0</v>
      </c>
      <c r="K46" s="395">
        <f t="shared" ca="1" si="2"/>
        <v>216000</v>
      </c>
      <c r="L46" s="395">
        <f t="shared" ca="1" si="3"/>
        <v>0</v>
      </c>
      <c r="M46" s="395">
        <f t="shared" ca="1" si="4"/>
        <v>0</v>
      </c>
      <c r="N46" s="395">
        <f t="shared" ca="1" si="5"/>
        <v>216000</v>
      </c>
      <c r="O46" s="395">
        <f t="shared" ca="1" si="6"/>
        <v>0</v>
      </c>
      <c r="P46" s="395">
        <f t="shared" ca="1" si="7"/>
        <v>0</v>
      </c>
      <c r="Q46" s="395">
        <f t="shared" ca="1" si="8"/>
        <v>0</v>
      </c>
      <c r="R46" s="395">
        <f t="shared" ca="1" si="39"/>
        <v>0</v>
      </c>
      <c r="S46" s="395">
        <f t="shared" ca="1" si="40"/>
        <v>0</v>
      </c>
      <c r="T46" s="395">
        <f t="shared" ca="1" si="9"/>
        <v>0</v>
      </c>
      <c r="U46" s="395">
        <f t="shared" ca="1" si="10"/>
        <v>0</v>
      </c>
      <c r="V46" s="395">
        <f t="shared" ca="1" si="11"/>
        <v>0</v>
      </c>
      <c r="W46" s="395">
        <f t="shared" ca="1" si="12"/>
        <v>0</v>
      </c>
      <c r="X46" s="395">
        <f t="shared" ca="1" si="13"/>
        <v>0</v>
      </c>
      <c r="Y46" s="395">
        <f t="shared" ca="1" si="14"/>
        <v>0</v>
      </c>
      <c r="Z46" s="395">
        <f t="shared" ca="1" si="15"/>
        <v>0</v>
      </c>
      <c r="AA46" s="395">
        <f t="shared" ca="1" si="16"/>
        <v>0</v>
      </c>
      <c r="AB46" s="395">
        <f t="shared" ca="1" si="17"/>
        <v>0</v>
      </c>
      <c r="AC46" s="395">
        <f t="shared" ca="1" si="18"/>
        <v>0</v>
      </c>
      <c r="AD46" s="395">
        <f t="shared" ca="1" si="19"/>
        <v>0</v>
      </c>
      <c r="AE46" s="395">
        <f t="shared" ca="1" si="20"/>
        <v>0</v>
      </c>
      <c r="AF46" s="395">
        <f t="shared" ca="1" si="21"/>
        <v>0</v>
      </c>
      <c r="AG46" s="395">
        <f t="shared" ca="1" si="22"/>
        <v>0</v>
      </c>
      <c r="AH46" s="395">
        <f t="shared" ca="1" si="23"/>
        <v>0</v>
      </c>
      <c r="AI46" s="395">
        <f t="shared" ca="1" si="24"/>
        <v>0</v>
      </c>
      <c r="AJ46" s="395">
        <f t="shared" ca="1" si="25"/>
        <v>0</v>
      </c>
      <c r="AK46" s="395">
        <f t="shared" ca="1" si="26"/>
        <v>0</v>
      </c>
      <c r="AL46" s="395">
        <f t="shared" ca="1" si="27"/>
        <v>0</v>
      </c>
      <c r="AM46" s="395">
        <f t="shared" ca="1" si="28"/>
        <v>0</v>
      </c>
      <c r="AN46" s="395">
        <f t="shared" ca="1" si="29"/>
        <v>0</v>
      </c>
      <c r="AO46" s="395">
        <f t="shared" ca="1" si="30"/>
        <v>0</v>
      </c>
      <c r="AP46" s="395">
        <f t="shared" ca="1" si="31"/>
        <v>0</v>
      </c>
      <c r="AQ46" s="395">
        <f t="shared" ca="1" si="32"/>
        <v>0</v>
      </c>
      <c r="AR46" s="395">
        <f t="shared" ca="1" si="33"/>
        <v>0</v>
      </c>
      <c r="AS46" s="395">
        <f t="shared" ca="1" si="34"/>
        <v>0</v>
      </c>
      <c r="AT46" s="395">
        <f t="shared" ca="1" si="35"/>
        <v>0</v>
      </c>
      <c r="AU46" s="395">
        <f t="shared" ca="1" si="36"/>
        <v>0</v>
      </c>
      <c r="AV46" s="395">
        <f t="shared" ca="1" si="37"/>
        <v>0</v>
      </c>
      <c r="AW46" s="395">
        <f t="shared" ca="1" si="38"/>
        <v>0</v>
      </c>
    </row>
    <row r="47" spans="1:49" s="392" customFormat="1" ht="12" customHeight="1">
      <c r="A47" s="63">
        <f t="array" aca="1" ref="A47" ca="1">IF(C47&lt;&gt;0,SUM(($C$11:C47&lt;&gt;0)*1),"")</f>
        <v>37</v>
      </c>
      <c r="B47" s="393">
        <f ca="1">IF(ROWS($1:37)&gt;COUNT(Dong9),"",OFFSET(TH!C$1,SMALL(Dong9,ROWS($1:37)),))</f>
        <v>41963</v>
      </c>
      <c r="C47" s="393" t="str">
        <f ca="1">IF(ROWS($1:37)&gt;COUNT(Dong9),"",OFFSET(TH!D$1,SMALL(Dong9,ROWS($1:37)),))</f>
        <v>C03</v>
      </c>
      <c r="D47" s="393">
        <f ca="1">IF(ROWS($1:37)&gt;COUNT(Dong9),"",OFFSET(TH!E$1,SMALL(Dong9,ROWS($1:37)),))</f>
        <v>41963</v>
      </c>
      <c r="E47" s="443" t="str">
        <f ca="1">IF(ROWS($1:37)&gt;COUNT(Dong9),"",OFFSET(TH!F$1,SMALL(Dong9,ROWS($1:37)),))</f>
        <v>Hoàn trả tiền mượn chuyển khoản</v>
      </c>
      <c r="F47" s="444">
        <f ca="1">IF(ROWS($1:37)&gt;COUNT(Dong9),"",OFFSET(TH!I$1,SMALL(Dong9,ROWS($1:37)),))</f>
        <v>40500000</v>
      </c>
      <c r="G47" s="456" t="str">
        <f ca="1">IF(ROWS($1:37)&gt;COUNT(Dong9),"",OFFSET(TH!J$1,SMALL(Dong9,ROWS($1:37)),))</f>
        <v>3388</v>
      </c>
      <c r="H47" s="456" t="str">
        <f ca="1">IF(ROWS($1:37)&gt;COUNT(Dong9),"",OFFSET(TH!K$1,SMALL(Dong9,ROWS($1:37)),))</f>
        <v>1111</v>
      </c>
      <c r="I47" s="63">
        <f t="shared" ca="1" si="0"/>
        <v>37</v>
      </c>
      <c r="J47" s="395">
        <f t="shared" ca="1" si="1"/>
        <v>0</v>
      </c>
      <c r="K47" s="395">
        <f t="shared" ca="1" si="2"/>
        <v>40500000</v>
      </c>
      <c r="L47" s="395">
        <f t="shared" ca="1" si="3"/>
        <v>0</v>
      </c>
      <c r="M47" s="395">
        <f t="shared" ca="1" si="4"/>
        <v>0</v>
      </c>
      <c r="N47" s="395">
        <f t="shared" ca="1" si="5"/>
        <v>0</v>
      </c>
      <c r="O47" s="395">
        <f t="shared" ca="1" si="6"/>
        <v>0</v>
      </c>
      <c r="P47" s="395">
        <f t="shared" ca="1" si="7"/>
        <v>0</v>
      </c>
      <c r="Q47" s="395">
        <f t="shared" ca="1" si="8"/>
        <v>0</v>
      </c>
      <c r="R47" s="395">
        <f t="shared" ca="1" si="39"/>
        <v>0</v>
      </c>
      <c r="S47" s="395">
        <f t="shared" ca="1" si="40"/>
        <v>0</v>
      </c>
      <c r="T47" s="395">
        <f t="shared" ca="1" si="9"/>
        <v>0</v>
      </c>
      <c r="U47" s="395">
        <f t="shared" ca="1" si="10"/>
        <v>0</v>
      </c>
      <c r="V47" s="395">
        <f t="shared" ca="1" si="11"/>
        <v>0</v>
      </c>
      <c r="W47" s="395">
        <f t="shared" ca="1" si="12"/>
        <v>0</v>
      </c>
      <c r="X47" s="395">
        <f t="shared" ca="1" si="13"/>
        <v>0</v>
      </c>
      <c r="Y47" s="395">
        <f t="shared" ca="1" si="14"/>
        <v>0</v>
      </c>
      <c r="Z47" s="395">
        <f t="shared" ca="1" si="15"/>
        <v>40500000</v>
      </c>
      <c r="AA47" s="395">
        <f t="shared" ca="1" si="16"/>
        <v>0</v>
      </c>
      <c r="AB47" s="395">
        <f t="shared" ca="1" si="17"/>
        <v>0</v>
      </c>
      <c r="AC47" s="395">
        <f t="shared" ca="1" si="18"/>
        <v>0</v>
      </c>
      <c r="AD47" s="395">
        <f t="shared" ca="1" si="19"/>
        <v>0</v>
      </c>
      <c r="AE47" s="395">
        <f t="shared" ca="1" si="20"/>
        <v>0</v>
      </c>
      <c r="AF47" s="395">
        <f t="shared" ca="1" si="21"/>
        <v>0</v>
      </c>
      <c r="AG47" s="395">
        <f t="shared" ca="1" si="22"/>
        <v>0</v>
      </c>
      <c r="AH47" s="395">
        <f t="shared" ca="1" si="23"/>
        <v>0</v>
      </c>
      <c r="AI47" s="395">
        <f t="shared" ca="1" si="24"/>
        <v>0</v>
      </c>
      <c r="AJ47" s="395">
        <f t="shared" ca="1" si="25"/>
        <v>0</v>
      </c>
      <c r="AK47" s="395">
        <f t="shared" ca="1" si="26"/>
        <v>0</v>
      </c>
      <c r="AL47" s="395">
        <f t="shared" ca="1" si="27"/>
        <v>0</v>
      </c>
      <c r="AM47" s="395">
        <f t="shared" ca="1" si="28"/>
        <v>0</v>
      </c>
      <c r="AN47" s="395">
        <f t="shared" ca="1" si="29"/>
        <v>0</v>
      </c>
      <c r="AO47" s="395">
        <f t="shared" ca="1" si="30"/>
        <v>0</v>
      </c>
      <c r="AP47" s="395">
        <f t="shared" ca="1" si="31"/>
        <v>0</v>
      </c>
      <c r="AQ47" s="395">
        <f t="shared" ca="1" si="32"/>
        <v>0</v>
      </c>
      <c r="AR47" s="395">
        <f t="shared" ca="1" si="33"/>
        <v>0</v>
      </c>
      <c r="AS47" s="395">
        <f t="shared" ca="1" si="34"/>
        <v>0</v>
      </c>
      <c r="AT47" s="395">
        <f t="shared" ca="1" si="35"/>
        <v>0</v>
      </c>
      <c r="AU47" s="395">
        <f t="shared" ca="1" si="36"/>
        <v>0</v>
      </c>
      <c r="AV47" s="395">
        <f t="shared" ca="1" si="37"/>
        <v>0</v>
      </c>
      <c r="AW47" s="395">
        <f t="shared" ca="1" si="38"/>
        <v>0</v>
      </c>
    </row>
    <row r="48" spans="1:49" s="392" customFormat="1" ht="12" customHeight="1">
      <c r="A48" s="63">
        <f t="array" aca="1" ref="A48" ca="1">IF(C48&lt;&gt;0,SUM(($C$11:C48&lt;&gt;0)*1),"")</f>
        <v>38</v>
      </c>
      <c r="B48" s="393">
        <f ca="1">IF(ROWS($1:38)&gt;COUNT(Dong9),"",OFFSET(TH!C$1,SMALL(Dong9,ROWS($1:38)),))</f>
        <v>41963</v>
      </c>
      <c r="C48" s="393" t="str">
        <f ca="1">IF(ROWS($1:38)&gt;COUNT(Dong9),"",OFFSET(TH!D$1,SMALL(Dong9,ROWS($1:38)),))</f>
        <v>GBC</v>
      </c>
      <c r="D48" s="393">
        <f ca="1">IF(ROWS($1:38)&gt;COUNT(Dong9),"",OFFSET(TH!E$1,SMALL(Dong9,ROWS($1:38)),))</f>
        <v>41963</v>
      </c>
      <c r="E48" s="443" t="str">
        <f ca="1">IF(ROWS($1:38)&gt;COUNT(Dong9),"",OFFSET(TH!F$1,SMALL(Dong9,ROWS($1:38)),))</f>
        <v>An Lạc LA- Ứng vốn</v>
      </c>
      <c r="F48" s="444">
        <f ca="1">IF(ROWS($1:38)&gt;COUNT(Dong9),"",OFFSET(TH!I$1,SMALL(Dong9,ROWS($1:38)),))</f>
        <v>40500000</v>
      </c>
      <c r="G48" s="456" t="str">
        <f ca="1">IF(ROWS($1:38)&gt;COUNT(Dong9),"",OFFSET(TH!J$1,SMALL(Dong9,ROWS($1:38)),))</f>
        <v>1121</v>
      </c>
      <c r="H48" s="456" t="str">
        <f ca="1">IF(ROWS($1:38)&gt;COUNT(Dong9),"",OFFSET(TH!K$1,SMALL(Dong9,ROWS($1:38)),))</f>
        <v>3388</v>
      </c>
      <c r="I48" s="63">
        <f t="shared" ca="1" si="0"/>
        <v>38</v>
      </c>
      <c r="J48" s="395">
        <f t="shared" ca="1" si="1"/>
        <v>0</v>
      </c>
      <c r="K48" s="395">
        <f t="shared" ca="1" si="2"/>
        <v>0</v>
      </c>
      <c r="L48" s="395">
        <f t="shared" ca="1" si="3"/>
        <v>40500000</v>
      </c>
      <c r="M48" s="395">
        <f t="shared" ca="1" si="4"/>
        <v>0</v>
      </c>
      <c r="N48" s="395">
        <f t="shared" ca="1" si="5"/>
        <v>0</v>
      </c>
      <c r="O48" s="395">
        <f t="shared" ca="1" si="6"/>
        <v>0</v>
      </c>
      <c r="P48" s="395">
        <f t="shared" ca="1" si="7"/>
        <v>0</v>
      </c>
      <c r="Q48" s="395">
        <f t="shared" ca="1" si="8"/>
        <v>0</v>
      </c>
      <c r="R48" s="395">
        <f t="shared" ca="1" si="39"/>
        <v>0</v>
      </c>
      <c r="S48" s="395">
        <f t="shared" ca="1" si="40"/>
        <v>0</v>
      </c>
      <c r="T48" s="395">
        <f t="shared" ca="1" si="9"/>
        <v>0</v>
      </c>
      <c r="U48" s="395">
        <f t="shared" ca="1" si="10"/>
        <v>0</v>
      </c>
      <c r="V48" s="395">
        <f t="shared" ca="1" si="11"/>
        <v>0</v>
      </c>
      <c r="W48" s="395">
        <f t="shared" ca="1" si="12"/>
        <v>0</v>
      </c>
      <c r="X48" s="395">
        <f t="shared" ca="1" si="13"/>
        <v>0</v>
      </c>
      <c r="Y48" s="395">
        <f t="shared" ca="1" si="14"/>
        <v>0</v>
      </c>
      <c r="Z48" s="395">
        <f t="shared" ca="1" si="15"/>
        <v>0</v>
      </c>
      <c r="AA48" s="395">
        <f t="shared" ca="1" si="16"/>
        <v>40500000</v>
      </c>
      <c r="AB48" s="395">
        <f t="shared" ca="1" si="17"/>
        <v>0</v>
      </c>
      <c r="AC48" s="395">
        <f t="shared" ca="1" si="18"/>
        <v>0</v>
      </c>
      <c r="AD48" s="395">
        <f t="shared" ca="1" si="19"/>
        <v>0</v>
      </c>
      <c r="AE48" s="395">
        <f t="shared" ca="1" si="20"/>
        <v>0</v>
      </c>
      <c r="AF48" s="395">
        <f t="shared" ca="1" si="21"/>
        <v>0</v>
      </c>
      <c r="AG48" s="395">
        <f t="shared" ca="1" si="22"/>
        <v>0</v>
      </c>
      <c r="AH48" s="395">
        <f t="shared" ca="1" si="23"/>
        <v>0</v>
      </c>
      <c r="AI48" s="395">
        <f t="shared" ca="1" si="24"/>
        <v>0</v>
      </c>
      <c r="AJ48" s="395">
        <f t="shared" ca="1" si="25"/>
        <v>0</v>
      </c>
      <c r="AK48" s="395">
        <f t="shared" ca="1" si="26"/>
        <v>0</v>
      </c>
      <c r="AL48" s="395">
        <f t="shared" ca="1" si="27"/>
        <v>0</v>
      </c>
      <c r="AM48" s="395">
        <f t="shared" ca="1" si="28"/>
        <v>0</v>
      </c>
      <c r="AN48" s="395">
        <f t="shared" ca="1" si="29"/>
        <v>0</v>
      </c>
      <c r="AO48" s="395">
        <f t="shared" ca="1" si="30"/>
        <v>0</v>
      </c>
      <c r="AP48" s="395">
        <f t="shared" ca="1" si="31"/>
        <v>0</v>
      </c>
      <c r="AQ48" s="395">
        <f t="shared" ca="1" si="32"/>
        <v>0</v>
      </c>
      <c r="AR48" s="395">
        <f t="shared" ca="1" si="33"/>
        <v>0</v>
      </c>
      <c r="AS48" s="395">
        <f t="shared" ca="1" si="34"/>
        <v>0</v>
      </c>
      <c r="AT48" s="395">
        <f t="shared" ca="1" si="35"/>
        <v>0</v>
      </c>
      <c r="AU48" s="395">
        <f t="shared" ca="1" si="36"/>
        <v>0</v>
      </c>
      <c r="AV48" s="395">
        <f t="shared" ca="1" si="37"/>
        <v>0</v>
      </c>
      <c r="AW48" s="395">
        <f t="shared" ca="1" si="38"/>
        <v>0</v>
      </c>
    </row>
    <row r="49" spans="1:49" s="392" customFormat="1" ht="12.75" customHeight="1">
      <c r="A49" s="63">
        <f t="array" aca="1" ref="A49" ca="1">IF(C49&lt;&gt;0,SUM(($C$11:C49&lt;&gt;0)*1),"")</f>
        <v>39</v>
      </c>
      <c r="B49" s="393">
        <f ca="1">IF(ROWS($1:39)&gt;COUNT(Dong9),"",OFFSET(TH!C$1,SMALL(Dong9,ROWS($1:39)),))</f>
        <v>41963</v>
      </c>
      <c r="C49" s="393" t="str">
        <f ca="1">IF(ROWS($1:39)&gt;COUNT(Dong9),"",OFFSET(TH!D$1,SMALL(Dong9,ROWS($1:39)),))</f>
        <v>GBN</v>
      </c>
      <c r="D49" s="393">
        <f ca="1">IF(ROWS($1:39)&gt;COUNT(Dong9),"",OFFSET(TH!E$1,SMALL(Dong9,ROWS($1:39)),))</f>
        <v>41963</v>
      </c>
      <c r="E49" s="443" t="str">
        <f ca="1">IF(ROWS($1:39)&gt;COUNT(Dong9),"",OFFSET(TH!F$1,SMALL(Dong9,ROWS($1:39)),))</f>
        <v xml:space="preserve">Lãi vay KU 1402LDS201401630 </v>
      </c>
      <c r="F49" s="444">
        <f ca="1">IF(ROWS($1:39)&gt;COUNT(Dong9),"",OFFSET(TH!I$1,SMALL(Dong9,ROWS($1:39)),))</f>
        <v>8614699</v>
      </c>
      <c r="G49" s="456" t="str">
        <f ca="1">IF(ROWS($1:39)&gt;COUNT(Dong9),"",OFFSET(TH!J$1,SMALL(Dong9,ROWS($1:39)),))</f>
        <v>635</v>
      </c>
      <c r="H49" s="456" t="str">
        <f ca="1">IF(ROWS($1:39)&gt;COUNT(Dong9),"",OFFSET(TH!K$1,SMALL(Dong9,ROWS($1:39)),))</f>
        <v>1121</v>
      </c>
      <c r="I49" s="63">
        <f t="shared" ca="1" si="0"/>
        <v>39</v>
      </c>
      <c r="J49" s="395">
        <f t="shared" ca="1" si="1"/>
        <v>0</v>
      </c>
      <c r="K49" s="395">
        <f t="shared" ca="1" si="2"/>
        <v>0</v>
      </c>
      <c r="L49" s="395">
        <f t="shared" ca="1" si="3"/>
        <v>0</v>
      </c>
      <c r="M49" s="395">
        <f t="shared" ca="1" si="4"/>
        <v>8614699</v>
      </c>
      <c r="N49" s="395">
        <f t="shared" ca="1" si="5"/>
        <v>0</v>
      </c>
      <c r="O49" s="395">
        <f t="shared" ca="1" si="6"/>
        <v>0</v>
      </c>
      <c r="P49" s="395">
        <f t="shared" ca="1" si="7"/>
        <v>0</v>
      </c>
      <c r="Q49" s="395">
        <f t="shared" ca="1" si="8"/>
        <v>0</v>
      </c>
      <c r="R49" s="395">
        <f t="shared" ca="1" si="39"/>
        <v>0</v>
      </c>
      <c r="S49" s="395">
        <f t="shared" ca="1" si="40"/>
        <v>0</v>
      </c>
      <c r="T49" s="395">
        <f t="shared" ca="1" si="9"/>
        <v>0</v>
      </c>
      <c r="U49" s="395">
        <f t="shared" ca="1" si="10"/>
        <v>0</v>
      </c>
      <c r="V49" s="395">
        <f t="shared" ca="1" si="11"/>
        <v>0</v>
      </c>
      <c r="W49" s="395">
        <f t="shared" ca="1" si="12"/>
        <v>0</v>
      </c>
      <c r="X49" s="395">
        <f t="shared" ca="1" si="13"/>
        <v>0</v>
      </c>
      <c r="Y49" s="395">
        <f t="shared" ca="1" si="14"/>
        <v>0</v>
      </c>
      <c r="Z49" s="395">
        <f t="shared" ca="1" si="15"/>
        <v>0</v>
      </c>
      <c r="AA49" s="395">
        <f t="shared" ca="1" si="16"/>
        <v>0</v>
      </c>
      <c r="AB49" s="395">
        <f t="shared" ca="1" si="17"/>
        <v>0</v>
      </c>
      <c r="AC49" s="395">
        <f t="shared" ca="1" si="18"/>
        <v>0</v>
      </c>
      <c r="AD49" s="395">
        <f t="shared" ca="1" si="19"/>
        <v>0</v>
      </c>
      <c r="AE49" s="395">
        <f t="shared" ca="1" si="20"/>
        <v>0</v>
      </c>
      <c r="AF49" s="395">
        <f t="shared" ca="1" si="21"/>
        <v>0</v>
      </c>
      <c r="AG49" s="395">
        <f t="shared" ca="1" si="22"/>
        <v>0</v>
      </c>
      <c r="AH49" s="395">
        <f t="shared" ca="1" si="23"/>
        <v>0</v>
      </c>
      <c r="AI49" s="395">
        <f t="shared" ca="1" si="24"/>
        <v>0</v>
      </c>
      <c r="AJ49" s="395">
        <f t="shared" ca="1" si="25"/>
        <v>0</v>
      </c>
      <c r="AK49" s="395">
        <f t="shared" ca="1" si="26"/>
        <v>0</v>
      </c>
      <c r="AL49" s="395">
        <f t="shared" ca="1" si="27"/>
        <v>8614699</v>
      </c>
      <c r="AM49" s="395">
        <f t="shared" ca="1" si="28"/>
        <v>0</v>
      </c>
      <c r="AN49" s="395">
        <f t="shared" ca="1" si="29"/>
        <v>0</v>
      </c>
      <c r="AO49" s="395">
        <f t="shared" ca="1" si="30"/>
        <v>0</v>
      </c>
      <c r="AP49" s="395">
        <f t="shared" ca="1" si="31"/>
        <v>0</v>
      </c>
      <c r="AQ49" s="395">
        <f t="shared" ca="1" si="32"/>
        <v>0</v>
      </c>
      <c r="AR49" s="395">
        <f t="shared" ca="1" si="33"/>
        <v>0</v>
      </c>
      <c r="AS49" s="395">
        <f t="shared" ca="1" si="34"/>
        <v>0</v>
      </c>
      <c r="AT49" s="395">
        <f t="shared" ca="1" si="35"/>
        <v>0</v>
      </c>
      <c r="AU49" s="395">
        <f t="shared" ca="1" si="36"/>
        <v>0</v>
      </c>
      <c r="AV49" s="395">
        <f t="shared" ca="1" si="37"/>
        <v>0</v>
      </c>
      <c r="AW49" s="395">
        <f t="shared" ca="1" si="38"/>
        <v>0</v>
      </c>
    </row>
    <row r="50" spans="1:49" s="392" customFormat="1" ht="12" customHeight="1">
      <c r="A50" s="63">
        <f t="array" aca="1" ref="A50" ca="1">IF(C50&lt;&gt;0,SUM(($C$11:C50&lt;&gt;0)*1),"")</f>
        <v>40</v>
      </c>
      <c r="B50" s="393">
        <f ca="1">IF(ROWS($1:40)&gt;COUNT(Dong9),"",OFFSET(TH!C$1,SMALL(Dong9,ROWS($1:40)),))</f>
        <v>41963</v>
      </c>
      <c r="C50" s="393" t="str">
        <f ca="1">IF(ROWS($1:40)&gt;COUNT(Dong9),"",OFFSET(TH!D$1,SMALL(Dong9,ROWS($1:40)),))</f>
        <v>GBN</v>
      </c>
      <c r="D50" s="393">
        <f ca="1">IF(ROWS($1:40)&gt;COUNT(Dong9),"",OFFSET(TH!E$1,SMALL(Dong9,ROWS($1:40)),))</f>
        <v>41963</v>
      </c>
      <c r="E50" s="443" t="str">
        <f ca="1">IF(ROWS($1:40)&gt;COUNT(Dong9),"",OFFSET(TH!F$1,SMALL(Dong9,ROWS($1:40)),))</f>
        <v>Lãi vay KU 1402LDS201402000</v>
      </c>
      <c r="F50" s="444">
        <f ca="1">IF(ROWS($1:40)&gt;COUNT(Dong9),"",OFFSET(TH!I$1,SMALL(Dong9,ROWS($1:40)),))</f>
        <v>31679861</v>
      </c>
      <c r="G50" s="456" t="str">
        <f ca="1">IF(ROWS($1:40)&gt;COUNT(Dong9),"",OFFSET(TH!J$1,SMALL(Dong9,ROWS($1:40)),))</f>
        <v>635</v>
      </c>
      <c r="H50" s="456" t="str">
        <f ca="1">IF(ROWS($1:40)&gt;COUNT(Dong9),"",OFFSET(TH!K$1,SMALL(Dong9,ROWS($1:40)),))</f>
        <v>1121</v>
      </c>
      <c r="I50" s="63">
        <f t="shared" ca="1" si="0"/>
        <v>40</v>
      </c>
      <c r="J50" s="395">
        <f t="shared" ca="1" si="1"/>
        <v>0</v>
      </c>
      <c r="K50" s="395">
        <f t="shared" ca="1" si="2"/>
        <v>0</v>
      </c>
      <c r="L50" s="395">
        <f t="shared" ca="1" si="3"/>
        <v>0</v>
      </c>
      <c r="M50" s="395">
        <f t="shared" ca="1" si="4"/>
        <v>31679861</v>
      </c>
      <c r="N50" s="395">
        <f t="shared" ca="1" si="5"/>
        <v>0</v>
      </c>
      <c r="O50" s="395">
        <f t="shared" ca="1" si="6"/>
        <v>0</v>
      </c>
      <c r="P50" s="395">
        <f t="shared" ca="1" si="7"/>
        <v>0</v>
      </c>
      <c r="Q50" s="395">
        <f t="shared" ca="1" si="8"/>
        <v>0</v>
      </c>
      <c r="R50" s="395">
        <f t="shared" ca="1" si="39"/>
        <v>0</v>
      </c>
      <c r="S50" s="395">
        <f t="shared" ca="1" si="40"/>
        <v>0</v>
      </c>
      <c r="T50" s="395">
        <f t="shared" ca="1" si="9"/>
        <v>0</v>
      </c>
      <c r="U50" s="395">
        <f t="shared" ca="1" si="10"/>
        <v>0</v>
      </c>
      <c r="V50" s="395">
        <f t="shared" ca="1" si="11"/>
        <v>0</v>
      </c>
      <c r="W50" s="395">
        <f t="shared" ca="1" si="12"/>
        <v>0</v>
      </c>
      <c r="X50" s="395">
        <f t="shared" ca="1" si="13"/>
        <v>0</v>
      </c>
      <c r="Y50" s="395">
        <f t="shared" ca="1" si="14"/>
        <v>0</v>
      </c>
      <c r="Z50" s="395">
        <f t="shared" ca="1" si="15"/>
        <v>0</v>
      </c>
      <c r="AA50" s="395">
        <f t="shared" ca="1" si="16"/>
        <v>0</v>
      </c>
      <c r="AB50" s="395">
        <f t="shared" ca="1" si="17"/>
        <v>0</v>
      </c>
      <c r="AC50" s="395">
        <f t="shared" ca="1" si="18"/>
        <v>0</v>
      </c>
      <c r="AD50" s="395">
        <f t="shared" ca="1" si="19"/>
        <v>0</v>
      </c>
      <c r="AE50" s="395">
        <f t="shared" ca="1" si="20"/>
        <v>0</v>
      </c>
      <c r="AF50" s="395">
        <f t="shared" ca="1" si="21"/>
        <v>0</v>
      </c>
      <c r="AG50" s="395">
        <f t="shared" ca="1" si="22"/>
        <v>0</v>
      </c>
      <c r="AH50" s="395">
        <f t="shared" ca="1" si="23"/>
        <v>0</v>
      </c>
      <c r="AI50" s="395">
        <f t="shared" ca="1" si="24"/>
        <v>0</v>
      </c>
      <c r="AJ50" s="395">
        <f t="shared" ca="1" si="25"/>
        <v>0</v>
      </c>
      <c r="AK50" s="395">
        <f t="shared" ca="1" si="26"/>
        <v>0</v>
      </c>
      <c r="AL50" s="395">
        <f t="shared" ca="1" si="27"/>
        <v>31679861</v>
      </c>
      <c r="AM50" s="395">
        <f t="shared" ca="1" si="28"/>
        <v>0</v>
      </c>
      <c r="AN50" s="395">
        <f t="shared" ca="1" si="29"/>
        <v>0</v>
      </c>
      <c r="AO50" s="395">
        <f t="shared" ca="1" si="30"/>
        <v>0</v>
      </c>
      <c r="AP50" s="395">
        <f t="shared" ca="1" si="31"/>
        <v>0</v>
      </c>
      <c r="AQ50" s="395">
        <f t="shared" ca="1" si="32"/>
        <v>0</v>
      </c>
      <c r="AR50" s="395">
        <f t="shared" ca="1" si="33"/>
        <v>0</v>
      </c>
      <c r="AS50" s="395">
        <f t="shared" ca="1" si="34"/>
        <v>0</v>
      </c>
      <c r="AT50" s="395">
        <f t="shared" ca="1" si="35"/>
        <v>0</v>
      </c>
      <c r="AU50" s="395">
        <f t="shared" ca="1" si="36"/>
        <v>0</v>
      </c>
      <c r="AV50" s="395">
        <f t="shared" ca="1" si="37"/>
        <v>0</v>
      </c>
      <c r="AW50" s="395">
        <f t="shared" ca="1" si="38"/>
        <v>0</v>
      </c>
    </row>
    <row r="51" spans="1:49" s="392" customFormat="1" ht="12" customHeight="1">
      <c r="A51" s="63">
        <f t="array" aca="1" ref="A51" ca="1">IF(C51&lt;&gt;0,SUM(($C$11:C51&lt;&gt;0)*1),"")</f>
        <v>41</v>
      </c>
      <c r="B51" s="393">
        <f ca="1">IF(ROWS($1:41)&gt;COUNT(Dong9),"",OFFSET(TH!C$1,SMALL(Dong9,ROWS($1:41)),))</f>
        <v>41963</v>
      </c>
      <c r="C51" s="393" t="str">
        <f ca="1">IF(ROWS($1:41)&gt;COUNT(Dong9),"",OFFSET(TH!D$1,SMALL(Dong9,ROWS($1:41)),))</f>
        <v>GBN</v>
      </c>
      <c r="D51" s="393">
        <f ca="1">IF(ROWS($1:41)&gt;COUNT(Dong9),"",OFFSET(TH!E$1,SMALL(Dong9,ROWS($1:41)),))</f>
        <v>41963</v>
      </c>
      <c r="E51" s="443" t="str">
        <f ca="1">IF(ROWS($1:41)&gt;COUNT(Dong9),"",OFFSET(TH!F$1,SMALL(Dong9,ROWS($1:41)),))</f>
        <v>Thanh toán tiền xây dựng - Khánh Trân</v>
      </c>
      <c r="F51" s="444">
        <f ca="1">IF(ROWS($1:41)&gt;COUNT(Dong9),"",OFFSET(TH!I$1,SMALL(Dong9,ROWS($1:41)),))</f>
        <v>1000000000</v>
      </c>
      <c r="G51" s="456" t="str">
        <f ca="1">IF(ROWS($1:41)&gt;COUNT(Dong9),"",OFFSET(TH!J$1,SMALL(Dong9,ROWS($1:41)),))</f>
        <v>331</v>
      </c>
      <c r="H51" s="456" t="str">
        <f ca="1">IF(ROWS($1:41)&gt;COUNT(Dong9),"",OFFSET(TH!K$1,SMALL(Dong9,ROWS($1:41)),))</f>
        <v>1121</v>
      </c>
      <c r="I51" s="63">
        <f t="shared" ca="1" si="0"/>
        <v>41</v>
      </c>
      <c r="J51" s="395">
        <f t="shared" ca="1" si="1"/>
        <v>0</v>
      </c>
      <c r="K51" s="395">
        <f t="shared" ca="1" si="2"/>
        <v>0</v>
      </c>
      <c r="L51" s="395">
        <f t="shared" ca="1" si="3"/>
        <v>0</v>
      </c>
      <c r="M51" s="395">
        <f t="shared" ca="1" si="4"/>
        <v>1000000000</v>
      </c>
      <c r="N51" s="395">
        <f t="shared" ca="1" si="5"/>
        <v>0</v>
      </c>
      <c r="O51" s="395">
        <f t="shared" ca="1" si="6"/>
        <v>0</v>
      </c>
      <c r="P51" s="395">
        <f t="shared" ca="1" si="7"/>
        <v>0</v>
      </c>
      <c r="Q51" s="395">
        <f t="shared" ca="1" si="8"/>
        <v>0</v>
      </c>
      <c r="R51" s="395">
        <f t="shared" ca="1" si="39"/>
        <v>0</v>
      </c>
      <c r="S51" s="395">
        <f t="shared" ca="1" si="40"/>
        <v>0</v>
      </c>
      <c r="T51" s="395">
        <f t="shared" ca="1" si="9"/>
        <v>1000000000</v>
      </c>
      <c r="U51" s="395">
        <f t="shared" ca="1" si="10"/>
        <v>0</v>
      </c>
      <c r="V51" s="395">
        <f t="shared" ca="1" si="11"/>
        <v>0</v>
      </c>
      <c r="W51" s="395">
        <f t="shared" ca="1" si="12"/>
        <v>0</v>
      </c>
      <c r="X51" s="395">
        <f t="shared" ca="1" si="13"/>
        <v>0</v>
      </c>
      <c r="Y51" s="395">
        <f t="shared" ca="1" si="14"/>
        <v>0</v>
      </c>
      <c r="Z51" s="395">
        <f t="shared" ca="1" si="15"/>
        <v>0</v>
      </c>
      <c r="AA51" s="395">
        <f t="shared" ca="1" si="16"/>
        <v>0</v>
      </c>
      <c r="AB51" s="395">
        <f t="shared" ca="1" si="17"/>
        <v>0</v>
      </c>
      <c r="AC51" s="395">
        <f t="shared" ca="1" si="18"/>
        <v>0</v>
      </c>
      <c r="AD51" s="395">
        <f t="shared" ca="1" si="19"/>
        <v>0</v>
      </c>
      <c r="AE51" s="395">
        <f t="shared" ca="1" si="20"/>
        <v>0</v>
      </c>
      <c r="AF51" s="395">
        <f t="shared" ca="1" si="21"/>
        <v>0</v>
      </c>
      <c r="AG51" s="395">
        <f t="shared" ca="1" si="22"/>
        <v>0</v>
      </c>
      <c r="AH51" s="395">
        <f t="shared" ca="1" si="23"/>
        <v>0</v>
      </c>
      <c r="AI51" s="395">
        <f t="shared" ca="1" si="24"/>
        <v>0</v>
      </c>
      <c r="AJ51" s="395">
        <f t="shared" ca="1" si="25"/>
        <v>0</v>
      </c>
      <c r="AK51" s="395">
        <f t="shared" ca="1" si="26"/>
        <v>0</v>
      </c>
      <c r="AL51" s="395">
        <f t="shared" ca="1" si="27"/>
        <v>0</v>
      </c>
      <c r="AM51" s="395">
        <f t="shared" ca="1" si="28"/>
        <v>0</v>
      </c>
      <c r="AN51" s="395">
        <f t="shared" ca="1" si="29"/>
        <v>0</v>
      </c>
      <c r="AO51" s="395">
        <f t="shared" ca="1" si="30"/>
        <v>0</v>
      </c>
      <c r="AP51" s="395">
        <f t="shared" ca="1" si="31"/>
        <v>0</v>
      </c>
      <c r="AQ51" s="395">
        <f t="shared" ca="1" si="32"/>
        <v>0</v>
      </c>
      <c r="AR51" s="395">
        <f t="shared" ca="1" si="33"/>
        <v>0</v>
      </c>
      <c r="AS51" s="395">
        <f t="shared" ca="1" si="34"/>
        <v>0</v>
      </c>
      <c r="AT51" s="395">
        <f t="shared" ca="1" si="35"/>
        <v>0</v>
      </c>
      <c r="AU51" s="395">
        <f t="shared" ca="1" si="36"/>
        <v>0</v>
      </c>
      <c r="AV51" s="395">
        <f t="shared" ca="1" si="37"/>
        <v>0</v>
      </c>
      <c r="AW51" s="395">
        <f t="shared" ca="1" si="38"/>
        <v>0</v>
      </c>
    </row>
    <row r="52" spans="1:49" s="392" customFormat="1" ht="12" customHeight="1">
      <c r="A52" s="63">
        <f t="array" aca="1" ref="A52" ca="1">IF(C52&lt;&gt;0,SUM(($C$11:C52&lt;&gt;0)*1),"")</f>
        <v>42</v>
      </c>
      <c r="B52" s="393">
        <f ca="1">IF(ROWS($1:42)&gt;COUNT(Dong9),"",OFFSET(TH!C$1,SMALL(Dong9,ROWS($1:42)),))</f>
        <v>41963</v>
      </c>
      <c r="C52" s="393" t="str">
        <f ca="1">IF(ROWS($1:42)&gt;COUNT(Dong9),"",OFFSET(TH!D$1,SMALL(Dong9,ROWS($1:42)),))</f>
        <v>GBN</v>
      </c>
      <c r="D52" s="393">
        <f ca="1">IF(ROWS($1:42)&gt;COUNT(Dong9),"",OFFSET(TH!E$1,SMALL(Dong9,ROWS($1:42)),))</f>
        <v>41963</v>
      </c>
      <c r="E52" s="443" t="str">
        <f ca="1">IF(ROWS($1:42)&gt;COUNT(Dong9),"",OFFSET(TH!F$1,SMALL(Dong9,ROWS($1:42)),))</f>
        <v xml:space="preserve">Phí chuyển tiền </v>
      </c>
      <c r="F52" s="444">
        <f ca="1">IF(ROWS($1:42)&gt;COUNT(Dong9),"",OFFSET(TH!I$1,SMALL(Dong9,ROWS($1:42)),))</f>
        <v>500000</v>
      </c>
      <c r="G52" s="456" t="str">
        <f ca="1">IF(ROWS($1:42)&gt;COUNT(Dong9),"",OFFSET(TH!J$1,SMALL(Dong9,ROWS($1:42)),))</f>
        <v>642</v>
      </c>
      <c r="H52" s="456" t="str">
        <f ca="1">IF(ROWS($1:42)&gt;COUNT(Dong9),"",OFFSET(TH!K$1,SMALL(Dong9,ROWS($1:42)),))</f>
        <v>1121</v>
      </c>
      <c r="I52" s="63">
        <f t="shared" ca="1" si="0"/>
        <v>42</v>
      </c>
      <c r="J52" s="395">
        <f t="shared" ca="1" si="1"/>
        <v>0</v>
      </c>
      <c r="K52" s="395">
        <f t="shared" ca="1" si="2"/>
        <v>0</v>
      </c>
      <c r="L52" s="395">
        <f t="shared" ca="1" si="3"/>
        <v>0</v>
      </c>
      <c r="M52" s="395">
        <f t="shared" ca="1" si="4"/>
        <v>500000</v>
      </c>
      <c r="N52" s="395">
        <f t="shared" ca="1" si="5"/>
        <v>0</v>
      </c>
      <c r="O52" s="395">
        <f t="shared" ca="1" si="6"/>
        <v>0</v>
      </c>
      <c r="P52" s="395">
        <f t="shared" ca="1" si="7"/>
        <v>0</v>
      </c>
      <c r="Q52" s="395">
        <f t="shared" ca="1" si="8"/>
        <v>0</v>
      </c>
      <c r="R52" s="395">
        <f t="shared" ca="1" si="39"/>
        <v>0</v>
      </c>
      <c r="S52" s="395">
        <f t="shared" ca="1" si="40"/>
        <v>0</v>
      </c>
      <c r="T52" s="395">
        <f t="shared" ca="1" si="9"/>
        <v>0</v>
      </c>
      <c r="U52" s="395">
        <f t="shared" ca="1" si="10"/>
        <v>0</v>
      </c>
      <c r="V52" s="395">
        <f t="shared" ca="1" si="11"/>
        <v>0</v>
      </c>
      <c r="W52" s="395">
        <f t="shared" ca="1" si="12"/>
        <v>0</v>
      </c>
      <c r="X52" s="395">
        <f t="shared" ca="1" si="13"/>
        <v>0</v>
      </c>
      <c r="Y52" s="395">
        <f t="shared" ca="1" si="14"/>
        <v>0</v>
      </c>
      <c r="Z52" s="395">
        <f t="shared" ca="1" si="15"/>
        <v>0</v>
      </c>
      <c r="AA52" s="395">
        <f t="shared" ca="1" si="16"/>
        <v>0</v>
      </c>
      <c r="AB52" s="395">
        <f t="shared" ca="1" si="17"/>
        <v>0</v>
      </c>
      <c r="AC52" s="395">
        <f t="shared" ca="1" si="18"/>
        <v>0</v>
      </c>
      <c r="AD52" s="395">
        <f t="shared" ca="1" si="19"/>
        <v>0</v>
      </c>
      <c r="AE52" s="395">
        <f t="shared" ca="1" si="20"/>
        <v>0</v>
      </c>
      <c r="AF52" s="395">
        <f t="shared" ca="1" si="21"/>
        <v>0</v>
      </c>
      <c r="AG52" s="395">
        <f t="shared" ca="1" si="22"/>
        <v>0</v>
      </c>
      <c r="AH52" s="395">
        <f t="shared" ca="1" si="23"/>
        <v>0</v>
      </c>
      <c r="AI52" s="395">
        <f t="shared" ca="1" si="24"/>
        <v>0</v>
      </c>
      <c r="AJ52" s="395">
        <f t="shared" ca="1" si="25"/>
        <v>0</v>
      </c>
      <c r="AK52" s="395">
        <f t="shared" ca="1" si="26"/>
        <v>0</v>
      </c>
      <c r="AL52" s="395">
        <f t="shared" ca="1" si="27"/>
        <v>0</v>
      </c>
      <c r="AM52" s="395">
        <f t="shared" ca="1" si="28"/>
        <v>0</v>
      </c>
      <c r="AN52" s="395">
        <f t="shared" ca="1" si="29"/>
        <v>500000</v>
      </c>
      <c r="AO52" s="395">
        <f t="shared" ca="1" si="30"/>
        <v>0</v>
      </c>
      <c r="AP52" s="395">
        <f t="shared" ca="1" si="31"/>
        <v>0</v>
      </c>
      <c r="AQ52" s="395">
        <f t="shared" ca="1" si="32"/>
        <v>0</v>
      </c>
      <c r="AR52" s="395">
        <f t="shared" ca="1" si="33"/>
        <v>0</v>
      </c>
      <c r="AS52" s="395">
        <f t="shared" ca="1" si="34"/>
        <v>0</v>
      </c>
      <c r="AT52" s="395">
        <f t="shared" ca="1" si="35"/>
        <v>0</v>
      </c>
      <c r="AU52" s="395">
        <f t="shared" ca="1" si="36"/>
        <v>0</v>
      </c>
      <c r="AV52" s="395">
        <f t="shared" ca="1" si="37"/>
        <v>0</v>
      </c>
      <c r="AW52" s="395">
        <f t="shared" ca="1" si="38"/>
        <v>0</v>
      </c>
    </row>
    <row r="53" spans="1:49" s="392" customFormat="1" ht="12" customHeight="1">
      <c r="A53" s="63">
        <f t="array" aca="1" ref="A53" ca="1">IF(C53&lt;&gt;0,SUM(($C$11:C53&lt;&gt;0)*1),"")</f>
        <v>43</v>
      </c>
      <c r="B53" s="393">
        <f ca="1">IF(ROWS($1:43)&gt;COUNT(Dong9),"",OFFSET(TH!C$1,SMALL(Dong9,ROWS($1:43)),))</f>
        <v>41963</v>
      </c>
      <c r="C53" s="393" t="str">
        <f ca="1">IF(ROWS($1:43)&gt;COUNT(Dong9),"",OFFSET(TH!D$1,SMALL(Dong9,ROWS($1:43)),))</f>
        <v>GBN</v>
      </c>
      <c r="D53" s="393">
        <f ca="1">IF(ROWS($1:43)&gt;COUNT(Dong9),"",OFFSET(TH!E$1,SMALL(Dong9,ROWS($1:43)),))</f>
        <v>41963</v>
      </c>
      <c r="E53" s="443" t="str">
        <f ca="1">IF(ROWS($1:43)&gt;COUNT(Dong9),"",OFFSET(TH!F$1,SMALL(Dong9,ROWS($1:43)),))</f>
        <v xml:space="preserve">VAT Phí chuyển tiền </v>
      </c>
      <c r="F53" s="444">
        <f ca="1">IF(ROWS($1:43)&gt;COUNT(Dong9),"",OFFSET(TH!I$1,SMALL(Dong9,ROWS($1:43)),))</f>
        <v>50000</v>
      </c>
      <c r="G53" s="456" t="str">
        <f ca="1">IF(ROWS($1:43)&gt;COUNT(Dong9),"",OFFSET(TH!J$1,SMALL(Dong9,ROWS($1:43)),))</f>
        <v>1331</v>
      </c>
      <c r="H53" s="456" t="str">
        <f ca="1">IF(ROWS($1:43)&gt;COUNT(Dong9),"",OFFSET(TH!K$1,SMALL(Dong9,ROWS($1:43)),))</f>
        <v>1121</v>
      </c>
      <c r="I53" s="63">
        <f t="shared" ca="1" si="0"/>
        <v>43</v>
      </c>
      <c r="J53" s="395">
        <f t="shared" ca="1" si="1"/>
        <v>0</v>
      </c>
      <c r="K53" s="395">
        <f t="shared" ca="1" si="2"/>
        <v>0</v>
      </c>
      <c r="L53" s="395">
        <f t="shared" ca="1" si="3"/>
        <v>0</v>
      </c>
      <c r="M53" s="395">
        <f t="shared" ca="1" si="4"/>
        <v>50000</v>
      </c>
      <c r="N53" s="395">
        <f t="shared" ca="1" si="5"/>
        <v>50000</v>
      </c>
      <c r="O53" s="395">
        <f t="shared" ca="1" si="6"/>
        <v>0</v>
      </c>
      <c r="P53" s="395">
        <f t="shared" ca="1" si="7"/>
        <v>0</v>
      </c>
      <c r="Q53" s="395">
        <f t="shared" ca="1" si="8"/>
        <v>0</v>
      </c>
      <c r="R53" s="395">
        <f t="shared" ca="1" si="39"/>
        <v>0</v>
      </c>
      <c r="S53" s="395">
        <f t="shared" ca="1" si="40"/>
        <v>0</v>
      </c>
      <c r="T53" s="395">
        <f t="shared" ca="1" si="9"/>
        <v>0</v>
      </c>
      <c r="U53" s="395">
        <f t="shared" ca="1" si="10"/>
        <v>0</v>
      </c>
      <c r="V53" s="395">
        <f t="shared" ca="1" si="11"/>
        <v>0</v>
      </c>
      <c r="W53" s="395">
        <f t="shared" ca="1" si="12"/>
        <v>0</v>
      </c>
      <c r="X53" s="395">
        <f t="shared" ca="1" si="13"/>
        <v>0</v>
      </c>
      <c r="Y53" s="395">
        <f t="shared" ca="1" si="14"/>
        <v>0</v>
      </c>
      <c r="Z53" s="395">
        <f t="shared" ca="1" si="15"/>
        <v>0</v>
      </c>
      <c r="AA53" s="395">
        <f t="shared" ca="1" si="16"/>
        <v>0</v>
      </c>
      <c r="AB53" s="395">
        <f t="shared" ca="1" si="17"/>
        <v>0</v>
      </c>
      <c r="AC53" s="395">
        <f t="shared" ca="1" si="18"/>
        <v>0</v>
      </c>
      <c r="AD53" s="395">
        <f t="shared" ca="1" si="19"/>
        <v>0</v>
      </c>
      <c r="AE53" s="395">
        <f t="shared" ca="1" si="20"/>
        <v>0</v>
      </c>
      <c r="AF53" s="395">
        <f t="shared" ca="1" si="21"/>
        <v>0</v>
      </c>
      <c r="AG53" s="395">
        <f t="shared" ca="1" si="22"/>
        <v>0</v>
      </c>
      <c r="AH53" s="395">
        <f t="shared" ca="1" si="23"/>
        <v>0</v>
      </c>
      <c r="AI53" s="395">
        <f t="shared" ca="1" si="24"/>
        <v>0</v>
      </c>
      <c r="AJ53" s="395">
        <f t="shared" ca="1" si="25"/>
        <v>0</v>
      </c>
      <c r="AK53" s="395">
        <f t="shared" ca="1" si="26"/>
        <v>0</v>
      </c>
      <c r="AL53" s="395">
        <f t="shared" ca="1" si="27"/>
        <v>0</v>
      </c>
      <c r="AM53" s="395">
        <f t="shared" ca="1" si="28"/>
        <v>0</v>
      </c>
      <c r="AN53" s="395">
        <f t="shared" ca="1" si="29"/>
        <v>0</v>
      </c>
      <c r="AO53" s="395">
        <f t="shared" ca="1" si="30"/>
        <v>0</v>
      </c>
      <c r="AP53" s="395">
        <f t="shared" ca="1" si="31"/>
        <v>0</v>
      </c>
      <c r="AQ53" s="395">
        <f t="shared" ca="1" si="32"/>
        <v>0</v>
      </c>
      <c r="AR53" s="395">
        <f t="shared" ca="1" si="33"/>
        <v>0</v>
      </c>
      <c r="AS53" s="395">
        <f t="shared" ca="1" si="34"/>
        <v>0</v>
      </c>
      <c r="AT53" s="395">
        <f t="shared" ca="1" si="35"/>
        <v>0</v>
      </c>
      <c r="AU53" s="395">
        <f t="shared" ca="1" si="36"/>
        <v>0</v>
      </c>
      <c r="AV53" s="395">
        <f t="shared" ca="1" si="37"/>
        <v>0</v>
      </c>
      <c r="AW53" s="395">
        <f t="shared" ca="1" si="38"/>
        <v>0</v>
      </c>
    </row>
    <row r="54" spans="1:49" s="392" customFormat="1" ht="12" customHeight="1">
      <c r="A54" s="63">
        <f t="array" aca="1" ref="A54" ca="1">IF(C54&lt;&gt;0,SUM(($C$11:C54&lt;&gt;0)*1),"")</f>
        <v>44</v>
      </c>
      <c r="B54" s="393">
        <f ca="1">IF(ROWS($1:44)&gt;COUNT(Dong9),"",OFFSET(TH!C$1,SMALL(Dong9,ROWS($1:44)),))</f>
        <v>41963</v>
      </c>
      <c r="C54" s="393" t="str">
        <f ca="1">IF(ROWS($1:44)&gt;COUNT(Dong9),"",OFFSET(TH!D$1,SMALL(Dong9,ROWS($1:44)),))</f>
        <v>GBC</v>
      </c>
      <c r="D54" s="393">
        <f ca="1">IF(ROWS($1:44)&gt;COUNT(Dong9),"",OFFSET(TH!E$1,SMALL(Dong9,ROWS($1:44)),))</f>
        <v>41963</v>
      </c>
      <c r="E54" s="443" t="str">
        <f ca="1">IF(ROWS($1:44)&gt;COUNT(Dong9),"",OFFSET(TH!F$1,SMALL(Dong9,ROWS($1:44)),))</f>
        <v>Vay KU 1402LDS201402740</v>
      </c>
      <c r="F54" s="444">
        <f ca="1">IF(ROWS($1:44)&gt;COUNT(Dong9),"",OFFSET(TH!I$1,SMALL(Dong9,ROWS($1:44)),))</f>
        <v>1500000000</v>
      </c>
      <c r="G54" s="456" t="str">
        <f ca="1">IF(ROWS($1:44)&gt;COUNT(Dong9),"",OFFSET(TH!J$1,SMALL(Dong9,ROWS($1:44)),))</f>
        <v>1121</v>
      </c>
      <c r="H54" s="456" t="str">
        <f ca="1">IF(ROWS($1:44)&gt;COUNT(Dong9),"",OFFSET(TH!K$1,SMALL(Dong9,ROWS($1:44)),))</f>
        <v>3411</v>
      </c>
      <c r="I54" s="63">
        <f t="shared" ca="1" si="0"/>
        <v>44</v>
      </c>
      <c r="J54" s="395">
        <f t="shared" ca="1" si="1"/>
        <v>0</v>
      </c>
      <c r="K54" s="395">
        <f t="shared" ca="1" si="2"/>
        <v>0</v>
      </c>
      <c r="L54" s="395">
        <f t="shared" ca="1" si="3"/>
        <v>1500000000</v>
      </c>
      <c r="M54" s="395">
        <f t="shared" ca="1" si="4"/>
        <v>0</v>
      </c>
      <c r="N54" s="395">
        <f t="shared" ca="1" si="5"/>
        <v>0</v>
      </c>
      <c r="O54" s="395">
        <f t="shared" ca="1" si="6"/>
        <v>0</v>
      </c>
      <c r="P54" s="395">
        <f t="shared" ca="1" si="7"/>
        <v>0</v>
      </c>
      <c r="Q54" s="395">
        <f t="shared" ca="1" si="8"/>
        <v>0</v>
      </c>
      <c r="R54" s="395">
        <f t="shared" ca="1" si="39"/>
        <v>0</v>
      </c>
      <c r="S54" s="395">
        <f t="shared" ca="1" si="40"/>
        <v>0</v>
      </c>
      <c r="T54" s="395">
        <f t="shared" ca="1" si="9"/>
        <v>0</v>
      </c>
      <c r="U54" s="395">
        <f t="shared" ca="1" si="10"/>
        <v>0</v>
      </c>
      <c r="V54" s="395">
        <f t="shared" ca="1" si="11"/>
        <v>0</v>
      </c>
      <c r="W54" s="395">
        <f t="shared" ca="1" si="12"/>
        <v>0</v>
      </c>
      <c r="X54" s="395">
        <f t="shared" ca="1" si="13"/>
        <v>0</v>
      </c>
      <c r="Y54" s="395">
        <f t="shared" ca="1" si="14"/>
        <v>0</v>
      </c>
      <c r="Z54" s="395">
        <f t="shared" ca="1" si="15"/>
        <v>0</v>
      </c>
      <c r="AA54" s="395">
        <f t="shared" ca="1" si="16"/>
        <v>0</v>
      </c>
      <c r="AB54" s="395">
        <f t="shared" ca="1" si="17"/>
        <v>0</v>
      </c>
      <c r="AC54" s="395">
        <f t="shared" ca="1" si="18"/>
        <v>1500000000</v>
      </c>
      <c r="AD54" s="395">
        <f t="shared" ca="1" si="19"/>
        <v>0</v>
      </c>
      <c r="AE54" s="395">
        <f t="shared" ca="1" si="20"/>
        <v>0</v>
      </c>
      <c r="AF54" s="395">
        <f t="shared" ca="1" si="21"/>
        <v>0</v>
      </c>
      <c r="AG54" s="395">
        <f t="shared" ca="1" si="22"/>
        <v>0</v>
      </c>
      <c r="AH54" s="395">
        <f t="shared" ca="1" si="23"/>
        <v>0</v>
      </c>
      <c r="AI54" s="395">
        <f t="shared" ca="1" si="24"/>
        <v>0</v>
      </c>
      <c r="AJ54" s="395">
        <f t="shared" ca="1" si="25"/>
        <v>0</v>
      </c>
      <c r="AK54" s="395">
        <f t="shared" ca="1" si="26"/>
        <v>0</v>
      </c>
      <c r="AL54" s="395">
        <f t="shared" ca="1" si="27"/>
        <v>0</v>
      </c>
      <c r="AM54" s="395">
        <f t="shared" ca="1" si="28"/>
        <v>0</v>
      </c>
      <c r="AN54" s="395">
        <f t="shared" ca="1" si="29"/>
        <v>0</v>
      </c>
      <c r="AO54" s="395">
        <f t="shared" ca="1" si="30"/>
        <v>0</v>
      </c>
      <c r="AP54" s="395">
        <f t="shared" ca="1" si="31"/>
        <v>0</v>
      </c>
      <c r="AQ54" s="395">
        <f t="shared" ca="1" si="32"/>
        <v>0</v>
      </c>
      <c r="AR54" s="395">
        <f t="shared" ca="1" si="33"/>
        <v>0</v>
      </c>
      <c r="AS54" s="395">
        <f t="shared" ca="1" si="34"/>
        <v>0</v>
      </c>
      <c r="AT54" s="395">
        <f t="shared" ca="1" si="35"/>
        <v>0</v>
      </c>
      <c r="AU54" s="395">
        <f t="shared" ca="1" si="36"/>
        <v>0</v>
      </c>
      <c r="AV54" s="395">
        <f t="shared" ca="1" si="37"/>
        <v>0</v>
      </c>
      <c r="AW54" s="395">
        <f t="shared" ca="1" si="38"/>
        <v>0</v>
      </c>
    </row>
    <row r="55" spans="1:49" s="392" customFormat="1" ht="12" customHeight="1">
      <c r="A55" s="63">
        <f t="array" aca="1" ref="A55" ca="1">IF(C55&lt;&gt;0,SUM(($C$11:C55&lt;&gt;0)*1),"")</f>
        <v>45</v>
      </c>
      <c r="B55" s="393">
        <f ca="1">IF(ROWS($1:45)&gt;COUNT(Dong9),"",OFFSET(TH!C$1,SMALL(Dong9,ROWS($1:45)),))</f>
        <v>41968</v>
      </c>
      <c r="C55" s="393" t="str">
        <f ca="1">IF(ROWS($1:45)&gt;COUNT(Dong9),"",OFFSET(TH!D$1,SMALL(Dong9,ROWS($1:45)),))</f>
        <v>GBC</v>
      </c>
      <c r="D55" s="393">
        <f ca="1">IF(ROWS($1:45)&gt;COUNT(Dong9),"",OFFSET(TH!E$1,SMALL(Dong9,ROWS($1:45)),))</f>
        <v>41968</v>
      </c>
      <c r="E55" s="443" t="str">
        <f ca="1">IF(ROWS($1:45)&gt;COUNT(Dong9),"",OFFSET(TH!F$1,SMALL(Dong9,ROWS($1:45)),))</f>
        <v>Lãi tiền gửi</v>
      </c>
      <c r="F55" s="444">
        <f ca="1">IF(ROWS($1:45)&gt;COUNT(Dong9),"",OFFSET(TH!I$1,SMALL(Dong9,ROWS($1:45)),))</f>
        <v>61267</v>
      </c>
      <c r="G55" s="456" t="str">
        <f ca="1">IF(ROWS($1:45)&gt;COUNT(Dong9),"",OFFSET(TH!J$1,SMALL(Dong9,ROWS($1:45)),))</f>
        <v>1121</v>
      </c>
      <c r="H55" s="456" t="str">
        <f ca="1">IF(ROWS($1:45)&gt;COUNT(Dong9),"",OFFSET(TH!K$1,SMALL(Dong9,ROWS($1:45)),))</f>
        <v>515</v>
      </c>
      <c r="I55" s="63">
        <f t="shared" ca="1" si="0"/>
        <v>45</v>
      </c>
      <c r="J55" s="395">
        <f t="shared" ca="1" si="1"/>
        <v>0</v>
      </c>
      <c r="K55" s="395">
        <f t="shared" ca="1" si="2"/>
        <v>0</v>
      </c>
      <c r="L55" s="395">
        <f t="shared" ca="1" si="3"/>
        <v>61267</v>
      </c>
      <c r="M55" s="395">
        <f t="shared" ca="1" si="4"/>
        <v>0</v>
      </c>
      <c r="N55" s="395">
        <f t="shared" ca="1" si="5"/>
        <v>0</v>
      </c>
      <c r="O55" s="395">
        <f t="shared" ca="1" si="6"/>
        <v>0</v>
      </c>
      <c r="P55" s="395">
        <f t="shared" ca="1" si="7"/>
        <v>0</v>
      </c>
      <c r="Q55" s="395">
        <f t="shared" ca="1" si="8"/>
        <v>0</v>
      </c>
      <c r="R55" s="395">
        <f t="shared" ca="1" si="39"/>
        <v>0</v>
      </c>
      <c r="S55" s="395">
        <f t="shared" ca="1" si="40"/>
        <v>0</v>
      </c>
      <c r="T55" s="395">
        <f t="shared" ca="1" si="9"/>
        <v>0</v>
      </c>
      <c r="U55" s="395">
        <f t="shared" ca="1" si="10"/>
        <v>0</v>
      </c>
      <c r="V55" s="395">
        <f t="shared" ca="1" si="11"/>
        <v>0</v>
      </c>
      <c r="W55" s="395">
        <f t="shared" ca="1" si="12"/>
        <v>0</v>
      </c>
      <c r="X55" s="395">
        <f t="shared" ca="1" si="13"/>
        <v>0</v>
      </c>
      <c r="Y55" s="395">
        <f t="shared" ca="1" si="14"/>
        <v>0</v>
      </c>
      <c r="Z55" s="395">
        <f t="shared" ca="1" si="15"/>
        <v>0</v>
      </c>
      <c r="AA55" s="395">
        <f t="shared" ca="1" si="16"/>
        <v>0</v>
      </c>
      <c r="AB55" s="395">
        <f t="shared" ca="1" si="17"/>
        <v>0</v>
      </c>
      <c r="AC55" s="395">
        <f t="shared" ca="1" si="18"/>
        <v>0</v>
      </c>
      <c r="AD55" s="395">
        <f t="shared" ca="1" si="19"/>
        <v>0</v>
      </c>
      <c r="AE55" s="395">
        <f t="shared" ca="1" si="20"/>
        <v>0</v>
      </c>
      <c r="AF55" s="395">
        <f t="shared" ca="1" si="21"/>
        <v>0</v>
      </c>
      <c r="AG55" s="395">
        <f t="shared" ca="1" si="22"/>
        <v>0</v>
      </c>
      <c r="AH55" s="395">
        <f t="shared" ca="1" si="23"/>
        <v>0</v>
      </c>
      <c r="AI55" s="395">
        <f t="shared" ca="1" si="24"/>
        <v>0</v>
      </c>
      <c r="AJ55" s="395">
        <f t="shared" ca="1" si="25"/>
        <v>0</v>
      </c>
      <c r="AK55" s="395">
        <f t="shared" ca="1" si="26"/>
        <v>61267</v>
      </c>
      <c r="AL55" s="395">
        <f t="shared" ca="1" si="27"/>
        <v>0</v>
      </c>
      <c r="AM55" s="395">
        <f t="shared" ca="1" si="28"/>
        <v>0</v>
      </c>
      <c r="AN55" s="395">
        <f t="shared" ca="1" si="29"/>
        <v>0</v>
      </c>
      <c r="AO55" s="395">
        <f t="shared" ca="1" si="30"/>
        <v>0</v>
      </c>
      <c r="AP55" s="395">
        <f t="shared" ca="1" si="31"/>
        <v>0</v>
      </c>
      <c r="AQ55" s="395">
        <f t="shared" ca="1" si="32"/>
        <v>0</v>
      </c>
      <c r="AR55" s="395">
        <f t="shared" ca="1" si="33"/>
        <v>0</v>
      </c>
      <c r="AS55" s="395">
        <f t="shared" ca="1" si="34"/>
        <v>0</v>
      </c>
      <c r="AT55" s="395">
        <f t="shared" ca="1" si="35"/>
        <v>0</v>
      </c>
      <c r="AU55" s="395">
        <f t="shared" ca="1" si="36"/>
        <v>0</v>
      </c>
      <c r="AV55" s="395">
        <f t="shared" ca="1" si="37"/>
        <v>0</v>
      </c>
      <c r="AW55" s="395">
        <f t="shared" ca="1" si="38"/>
        <v>0</v>
      </c>
    </row>
    <row r="56" spans="1:49" s="392" customFormat="1" ht="12" customHeight="1">
      <c r="A56" s="63">
        <f t="array" aca="1" ref="A56" ca="1">IF(C56&lt;&gt;0,SUM(($C$11:C56&lt;&gt;0)*1),"")</f>
        <v>46</v>
      </c>
      <c r="B56" s="393">
        <f ca="1">IF(ROWS($1:46)&gt;COUNT(Dong9),"",OFFSET(TH!C$1,SMALL(Dong9,ROWS($1:46)),))</f>
        <v>41984</v>
      </c>
      <c r="C56" s="393" t="str">
        <f ca="1">IF(ROWS($1:46)&gt;COUNT(Dong9),"",OFFSET(TH!D$1,SMALL(Dong9,ROWS($1:46)),))</f>
        <v>GBN</v>
      </c>
      <c r="D56" s="393">
        <f ca="1">IF(ROWS($1:46)&gt;COUNT(Dong9),"",OFFSET(TH!E$1,SMALL(Dong9,ROWS($1:46)),))</f>
        <v>41984</v>
      </c>
      <c r="E56" s="443" t="str">
        <f ca="1">IF(ROWS($1:46)&gt;COUNT(Dong9),"",OFFSET(TH!F$1,SMALL(Dong9,ROWS($1:46)),))</f>
        <v>Thanh toán tiền xây dựng - Khánh Trân</v>
      </c>
      <c r="F56" s="444">
        <f ca="1">IF(ROWS($1:46)&gt;COUNT(Dong9),"",OFFSET(TH!I$1,SMALL(Dong9,ROWS($1:46)),))</f>
        <v>1000000000</v>
      </c>
      <c r="G56" s="456" t="str">
        <f ca="1">IF(ROWS($1:46)&gt;COUNT(Dong9),"",OFFSET(TH!J$1,SMALL(Dong9,ROWS($1:46)),))</f>
        <v>331</v>
      </c>
      <c r="H56" s="456" t="str">
        <f ca="1">IF(ROWS($1:46)&gt;COUNT(Dong9),"",OFFSET(TH!K$1,SMALL(Dong9,ROWS($1:46)),))</f>
        <v>1121</v>
      </c>
      <c r="I56" s="63">
        <f t="shared" ca="1" si="0"/>
        <v>46</v>
      </c>
      <c r="J56" s="395">
        <f t="shared" ca="1" si="1"/>
        <v>0</v>
      </c>
      <c r="K56" s="395">
        <f t="shared" ca="1" si="2"/>
        <v>0</v>
      </c>
      <c r="L56" s="395">
        <f t="shared" ca="1" si="3"/>
        <v>0</v>
      </c>
      <c r="M56" s="395">
        <f t="shared" ca="1" si="4"/>
        <v>1000000000</v>
      </c>
      <c r="N56" s="395">
        <f t="shared" ca="1" si="5"/>
        <v>0</v>
      </c>
      <c r="O56" s="395">
        <f t="shared" ca="1" si="6"/>
        <v>0</v>
      </c>
      <c r="P56" s="395">
        <f t="shared" ca="1" si="7"/>
        <v>0</v>
      </c>
      <c r="Q56" s="395">
        <f t="shared" ca="1" si="8"/>
        <v>0</v>
      </c>
      <c r="R56" s="395">
        <f t="shared" ca="1" si="39"/>
        <v>0</v>
      </c>
      <c r="S56" s="395">
        <f t="shared" ca="1" si="40"/>
        <v>0</v>
      </c>
      <c r="T56" s="395">
        <f t="shared" ca="1" si="9"/>
        <v>1000000000</v>
      </c>
      <c r="U56" s="395">
        <f t="shared" ca="1" si="10"/>
        <v>0</v>
      </c>
      <c r="V56" s="395">
        <f t="shared" ca="1" si="11"/>
        <v>0</v>
      </c>
      <c r="W56" s="395">
        <f t="shared" ca="1" si="12"/>
        <v>0</v>
      </c>
      <c r="X56" s="395">
        <f t="shared" ca="1" si="13"/>
        <v>0</v>
      </c>
      <c r="Y56" s="395">
        <f t="shared" ca="1" si="14"/>
        <v>0</v>
      </c>
      <c r="Z56" s="395">
        <f t="shared" ca="1" si="15"/>
        <v>0</v>
      </c>
      <c r="AA56" s="395">
        <f t="shared" ca="1" si="16"/>
        <v>0</v>
      </c>
      <c r="AB56" s="395">
        <f t="shared" ca="1" si="17"/>
        <v>0</v>
      </c>
      <c r="AC56" s="395">
        <f t="shared" ca="1" si="18"/>
        <v>0</v>
      </c>
      <c r="AD56" s="395">
        <f t="shared" ca="1" si="19"/>
        <v>0</v>
      </c>
      <c r="AE56" s="395">
        <f t="shared" ca="1" si="20"/>
        <v>0</v>
      </c>
      <c r="AF56" s="395">
        <f t="shared" ca="1" si="21"/>
        <v>0</v>
      </c>
      <c r="AG56" s="395">
        <f t="shared" ca="1" si="22"/>
        <v>0</v>
      </c>
      <c r="AH56" s="395">
        <f t="shared" ca="1" si="23"/>
        <v>0</v>
      </c>
      <c r="AI56" s="395">
        <f t="shared" ca="1" si="24"/>
        <v>0</v>
      </c>
      <c r="AJ56" s="395">
        <f t="shared" ca="1" si="25"/>
        <v>0</v>
      </c>
      <c r="AK56" s="395">
        <f t="shared" ca="1" si="26"/>
        <v>0</v>
      </c>
      <c r="AL56" s="395">
        <f t="shared" ca="1" si="27"/>
        <v>0</v>
      </c>
      <c r="AM56" s="395">
        <f t="shared" ca="1" si="28"/>
        <v>0</v>
      </c>
      <c r="AN56" s="395">
        <f t="shared" ca="1" si="29"/>
        <v>0</v>
      </c>
      <c r="AO56" s="395">
        <f t="shared" ca="1" si="30"/>
        <v>0</v>
      </c>
      <c r="AP56" s="395">
        <f t="shared" ca="1" si="31"/>
        <v>0</v>
      </c>
      <c r="AQ56" s="395">
        <f t="shared" ca="1" si="32"/>
        <v>0</v>
      </c>
      <c r="AR56" s="395">
        <f t="shared" ca="1" si="33"/>
        <v>0</v>
      </c>
      <c r="AS56" s="395">
        <f t="shared" ca="1" si="34"/>
        <v>0</v>
      </c>
      <c r="AT56" s="395">
        <f t="shared" ca="1" si="35"/>
        <v>0</v>
      </c>
      <c r="AU56" s="395">
        <f t="shared" ca="1" si="36"/>
        <v>0</v>
      </c>
      <c r="AV56" s="395">
        <f t="shared" ca="1" si="37"/>
        <v>0</v>
      </c>
      <c r="AW56" s="395">
        <f t="shared" ca="1" si="38"/>
        <v>0</v>
      </c>
    </row>
    <row r="57" spans="1:49" s="392" customFormat="1" ht="12" customHeight="1">
      <c r="A57" s="63">
        <f t="array" aca="1" ref="A57" ca="1">IF(C57&lt;&gt;0,SUM(($C$11:C57&lt;&gt;0)*1),"")</f>
        <v>47</v>
      </c>
      <c r="B57" s="393">
        <f ca="1">IF(ROWS($1:47)&gt;COUNT(Dong9),"",OFFSET(TH!C$1,SMALL(Dong9,ROWS($1:47)),))</f>
        <v>41984</v>
      </c>
      <c r="C57" s="393" t="str">
        <f ca="1">IF(ROWS($1:47)&gt;COUNT(Dong9),"",OFFSET(TH!D$1,SMALL(Dong9,ROWS($1:47)),))</f>
        <v>GBC</v>
      </c>
      <c r="D57" s="393">
        <f ca="1">IF(ROWS($1:47)&gt;COUNT(Dong9),"",OFFSET(TH!E$1,SMALL(Dong9,ROWS($1:47)),))</f>
        <v>41984</v>
      </c>
      <c r="E57" s="443" t="str">
        <f ca="1">IF(ROWS($1:47)&gt;COUNT(Dong9),"",OFFSET(TH!F$1,SMALL(Dong9,ROWS($1:47)),))</f>
        <v>Vay KU 1402LDS201403045</v>
      </c>
      <c r="F57" s="444">
        <f ca="1">IF(ROWS($1:47)&gt;COUNT(Dong9),"",OFFSET(TH!I$1,SMALL(Dong9,ROWS($1:47)),))</f>
        <v>1000000000</v>
      </c>
      <c r="G57" s="456" t="str">
        <f ca="1">IF(ROWS($1:47)&gt;COUNT(Dong9),"",OFFSET(TH!J$1,SMALL(Dong9,ROWS($1:47)),))</f>
        <v>1121</v>
      </c>
      <c r="H57" s="456" t="str">
        <f ca="1">IF(ROWS($1:47)&gt;COUNT(Dong9),"",OFFSET(TH!K$1,SMALL(Dong9,ROWS($1:47)),))</f>
        <v>3411</v>
      </c>
      <c r="I57" s="63">
        <f t="shared" ca="1" si="0"/>
        <v>47</v>
      </c>
      <c r="J57" s="395">
        <f t="shared" ca="1" si="1"/>
        <v>0</v>
      </c>
      <c r="K57" s="395">
        <f t="shared" ca="1" si="2"/>
        <v>0</v>
      </c>
      <c r="L57" s="395">
        <f t="shared" ca="1" si="3"/>
        <v>1000000000</v>
      </c>
      <c r="M57" s="395">
        <f t="shared" ca="1" si="4"/>
        <v>0</v>
      </c>
      <c r="N57" s="395">
        <f t="shared" ca="1" si="5"/>
        <v>0</v>
      </c>
      <c r="O57" s="395">
        <f t="shared" ca="1" si="6"/>
        <v>0</v>
      </c>
      <c r="P57" s="395">
        <f t="shared" ca="1" si="7"/>
        <v>0</v>
      </c>
      <c r="Q57" s="395">
        <f t="shared" ca="1" si="8"/>
        <v>0</v>
      </c>
      <c r="R57" s="395">
        <f t="shared" ca="1" si="39"/>
        <v>0</v>
      </c>
      <c r="S57" s="395">
        <f t="shared" ca="1" si="40"/>
        <v>0</v>
      </c>
      <c r="T57" s="395">
        <f t="shared" ca="1" si="9"/>
        <v>0</v>
      </c>
      <c r="U57" s="395">
        <f t="shared" ca="1" si="10"/>
        <v>0</v>
      </c>
      <c r="V57" s="395">
        <f t="shared" ca="1" si="11"/>
        <v>0</v>
      </c>
      <c r="W57" s="395">
        <f t="shared" ca="1" si="12"/>
        <v>0</v>
      </c>
      <c r="X57" s="395">
        <f t="shared" ca="1" si="13"/>
        <v>0</v>
      </c>
      <c r="Y57" s="395">
        <f t="shared" ca="1" si="14"/>
        <v>0</v>
      </c>
      <c r="Z57" s="395">
        <f t="shared" ca="1" si="15"/>
        <v>0</v>
      </c>
      <c r="AA57" s="395">
        <f t="shared" ca="1" si="16"/>
        <v>0</v>
      </c>
      <c r="AB57" s="395">
        <f t="shared" ca="1" si="17"/>
        <v>0</v>
      </c>
      <c r="AC57" s="395">
        <f t="shared" ca="1" si="18"/>
        <v>1000000000</v>
      </c>
      <c r="AD57" s="395">
        <f t="shared" ca="1" si="19"/>
        <v>0</v>
      </c>
      <c r="AE57" s="395">
        <f t="shared" ca="1" si="20"/>
        <v>0</v>
      </c>
      <c r="AF57" s="395">
        <f t="shared" ca="1" si="21"/>
        <v>0</v>
      </c>
      <c r="AG57" s="395">
        <f t="shared" ca="1" si="22"/>
        <v>0</v>
      </c>
      <c r="AH57" s="395">
        <f t="shared" ca="1" si="23"/>
        <v>0</v>
      </c>
      <c r="AI57" s="395">
        <f t="shared" ca="1" si="24"/>
        <v>0</v>
      </c>
      <c r="AJ57" s="395">
        <f t="shared" ca="1" si="25"/>
        <v>0</v>
      </c>
      <c r="AK57" s="395">
        <f t="shared" ca="1" si="26"/>
        <v>0</v>
      </c>
      <c r="AL57" s="395">
        <f t="shared" ca="1" si="27"/>
        <v>0</v>
      </c>
      <c r="AM57" s="395">
        <f t="shared" ca="1" si="28"/>
        <v>0</v>
      </c>
      <c r="AN57" s="395">
        <f t="shared" ca="1" si="29"/>
        <v>0</v>
      </c>
      <c r="AO57" s="395">
        <f t="shared" ca="1" si="30"/>
        <v>0</v>
      </c>
      <c r="AP57" s="395">
        <f t="shared" ca="1" si="31"/>
        <v>0</v>
      </c>
      <c r="AQ57" s="395">
        <f t="shared" ca="1" si="32"/>
        <v>0</v>
      </c>
      <c r="AR57" s="395">
        <f t="shared" ca="1" si="33"/>
        <v>0</v>
      </c>
      <c r="AS57" s="395">
        <f t="shared" ca="1" si="34"/>
        <v>0</v>
      </c>
      <c r="AT57" s="395">
        <f t="shared" ca="1" si="35"/>
        <v>0</v>
      </c>
      <c r="AU57" s="395">
        <f t="shared" ca="1" si="36"/>
        <v>0</v>
      </c>
      <c r="AV57" s="395">
        <f t="shared" ca="1" si="37"/>
        <v>0</v>
      </c>
      <c r="AW57" s="395">
        <f t="shared" ca="1" si="38"/>
        <v>0</v>
      </c>
    </row>
    <row r="58" spans="1:49" s="392" customFormat="1" ht="12" customHeight="1">
      <c r="A58" s="63">
        <f t="array" aca="1" ref="A58" ca="1">IF(C58&lt;&gt;0,SUM(($C$11:C58&lt;&gt;0)*1),"")</f>
        <v>48</v>
      </c>
      <c r="B58" s="393">
        <f ca="1">IF(ROWS($1:48)&gt;COUNT(Dong9),"",OFFSET(TH!C$1,SMALL(Dong9,ROWS($1:48)),))</f>
        <v>41993</v>
      </c>
      <c r="C58" s="393" t="str">
        <f ca="1">IF(ROWS($1:48)&gt;COUNT(Dong9),"",OFFSET(TH!D$1,SMALL(Dong9,ROWS($1:48)),))</f>
        <v>GBN</v>
      </c>
      <c r="D58" s="393">
        <f ca="1">IF(ROWS($1:48)&gt;COUNT(Dong9),"",OFFSET(TH!E$1,SMALL(Dong9,ROWS($1:48)),))</f>
        <v>41993</v>
      </c>
      <c r="E58" s="443" t="str">
        <f ca="1">IF(ROWS($1:48)&gt;COUNT(Dong9),"",OFFSET(TH!F$1,SMALL(Dong9,ROWS($1:48)),))</f>
        <v>Lãi vay KU 1402LDS201401630</v>
      </c>
      <c r="F58" s="444">
        <f ca="1">IF(ROWS($1:48)&gt;COUNT(Dong9),"",OFFSET(TH!I$1,SMALL(Dong9,ROWS($1:48)),))</f>
        <v>8336805</v>
      </c>
      <c r="G58" s="456" t="str">
        <f ca="1">IF(ROWS($1:48)&gt;COUNT(Dong9),"",OFFSET(TH!J$1,SMALL(Dong9,ROWS($1:48)),))</f>
        <v>635</v>
      </c>
      <c r="H58" s="456" t="str">
        <f ca="1">IF(ROWS($1:48)&gt;COUNT(Dong9),"",OFFSET(TH!K$1,SMALL(Dong9,ROWS($1:48)),))</f>
        <v>1121</v>
      </c>
      <c r="I58" s="63">
        <f t="shared" ca="1" si="0"/>
        <v>48</v>
      </c>
      <c r="J58" s="395">
        <f t="shared" ca="1" si="1"/>
        <v>0</v>
      </c>
      <c r="K58" s="395">
        <f t="shared" ca="1" si="2"/>
        <v>0</v>
      </c>
      <c r="L58" s="395">
        <f t="shared" ca="1" si="3"/>
        <v>0</v>
      </c>
      <c r="M58" s="395">
        <f t="shared" ca="1" si="4"/>
        <v>8336805</v>
      </c>
      <c r="N58" s="395">
        <f t="shared" ca="1" si="5"/>
        <v>0</v>
      </c>
      <c r="O58" s="395">
        <f t="shared" ca="1" si="6"/>
        <v>0</v>
      </c>
      <c r="P58" s="395">
        <f t="shared" ca="1" si="7"/>
        <v>0</v>
      </c>
      <c r="Q58" s="395">
        <f t="shared" ca="1" si="8"/>
        <v>0</v>
      </c>
      <c r="R58" s="395">
        <f t="shared" ca="1" si="39"/>
        <v>0</v>
      </c>
      <c r="S58" s="395">
        <f t="shared" ca="1" si="40"/>
        <v>0</v>
      </c>
      <c r="T58" s="395">
        <f t="shared" ca="1" si="9"/>
        <v>0</v>
      </c>
      <c r="U58" s="395">
        <f t="shared" ca="1" si="10"/>
        <v>0</v>
      </c>
      <c r="V58" s="395">
        <f t="shared" ca="1" si="11"/>
        <v>0</v>
      </c>
      <c r="W58" s="395">
        <f t="shared" ca="1" si="12"/>
        <v>0</v>
      </c>
      <c r="X58" s="395">
        <f t="shared" ca="1" si="13"/>
        <v>0</v>
      </c>
      <c r="Y58" s="395">
        <f t="shared" ca="1" si="14"/>
        <v>0</v>
      </c>
      <c r="Z58" s="395">
        <f t="shared" ca="1" si="15"/>
        <v>0</v>
      </c>
      <c r="AA58" s="395">
        <f t="shared" ca="1" si="16"/>
        <v>0</v>
      </c>
      <c r="AB58" s="395">
        <f t="shared" ca="1" si="17"/>
        <v>0</v>
      </c>
      <c r="AC58" s="395">
        <f t="shared" ca="1" si="18"/>
        <v>0</v>
      </c>
      <c r="AD58" s="395">
        <f t="shared" ca="1" si="19"/>
        <v>0</v>
      </c>
      <c r="AE58" s="395">
        <f t="shared" ca="1" si="20"/>
        <v>0</v>
      </c>
      <c r="AF58" s="395">
        <f t="shared" ca="1" si="21"/>
        <v>0</v>
      </c>
      <c r="AG58" s="395">
        <f t="shared" ca="1" si="22"/>
        <v>0</v>
      </c>
      <c r="AH58" s="395">
        <f t="shared" ca="1" si="23"/>
        <v>0</v>
      </c>
      <c r="AI58" s="395">
        <f t="shared" ca="1" si="24"/>
        <v>0</v>
      </c>
      <c r="AJ58" s="395">
        <f t="shared" ca="1" si="25"/>
        <v>0</v>
      </c>
      <c r="AK58" s="395">
        <f t="shared" ca="1" si="26"/>
        <v>0</v>
      </c>
      <c r="AL58" s="395">
        <f t="shared" ca="1" si="27"/>
        <v>8336805</v>
      </c>
      <c r="AM58" s="395">
        <f t="shared" ca="1" si="28"/>
        <v>0</v>
      </c>
      <c r="AN58" s="395">
        <f t="shared" ca="1" si="29"/>
        <v>0</v>
      </c>
      <c r="AO58" s="395">
        <f t="shared" ca="1" si="30"/>
        <v>0</v>
      </c>
      <c r="AP58" s="395">
        <f t="shared" ca="1" si="31"/>
        <v>0</v>
      </c>
      <c r="AQ58" s="395">
        <f t="shared" ca="1" si="32"/>
        <v>0</v>
      </c>
      <c r="AR58" s="395">
        <f t="shared" ca="1" si="33"/>
        <v>0</v>
      </c>
      <c r="AS58" s="395">
        <f t="shared" ca="1" si="34"/>
        <v>0</v>
      </c>
      <c r="AT58" s="395">
        <f t="shared" ca="1" si="35"/>
        <v>0</v>
      </c>
      <c r="AU58" s="395">
        <f t="shared" ca="1" si="36"/>
        <v>0</v>
      </c>
      <c r="AV58" s="395">
        <f t="shared" ca="1" si="37"/>
        <v>0</v>
      </c>
      <c r="AW58" s="395">
        <f t="shared" ca="1" si="38"/>
        <v>0</v>
      </c>
    </row>
    <row r="59" spans="1:49" s="392" customFormat="1" ht="12" customHeight="1">
      <c r="A59" s="63">
        <f t="array" aca="1" ref="A59" ca="1">IF(C59&lt;&gt;0,SUM(($C$11:C59&lt;&gt;0)*1),"")</f>
        <v>49</v>
      </c>
      <c r="B59" s="393">
        <f ca="1">IF(ROWS($1:49)&gt;COUNT(Dong9),"",OFFSET(TH!C$1,SMALL(Dong9,ROWS($1:49)),))</f>
        <v>41993</v>
      </c>
      <c r="C59" s="393" t="str">
        <f ca="1">IF(ROWS($1:49)&gt;COUNT(Dong9),"",OFFSET(TH!D$1,SMALL(Dong9,ROWS($1:49)),))</f>
        <v>GBN</v>
      </c>
      <c r="D59" s="393">
        <f ca="1">IF(ROWS($1:49)&gt;COUNT(Dong9),"",OFFSET(TH!E$1,SMALL(Dong9,ROWS($1:49)),))</f>
        <v>41993</v>
      </c>
      <c r="E59" s="443" t="str">
        <f ca="1">IF(ROWS($1:49)&gt;COUNT(Dong9),"",OFFSET(TH!F$1,SMALL(Dong9,ROWS($1:49)),))</f>
        <v>Lãi vay KU 1402LDS201402000</v>
      </c>
      <c r="F59" s="444">
        <f ca="1">IF(ROWS($1:49)&gt;COUNT(Dong9),"",OFFSET(TH!I$1,SMALL(Dong9,ROWS($1:49)),))</f>
        <v>16673611</v>
      </c>
      <c r="G59" s="456" t="str">
        <f ca="1">IF(ROWS($1:49)&gt;COUNT(Dong9),"",OFFSET(TH!J$1,SMALL(Dong9,ROWS($1:49)),))</f>
        <v>635</v>
      </c>
      <c r="H59" s="456" t="str">
        <f ca="1">IF(ROWS($1:49)&gt;COUNT(Dong9),"",OFFSET(TH!K$1,SMALL(Dong9,ROWS($1:49)),))</f>
        <v>1121</v>
      </c>
      <c r="I59" s="63">
        <f t="shared" ca="1" si="0"/>
        <v>49</v>
      </c>
      <c r="J59" s="395">
        <f t="shared" ca="1" si="1"/>
        <v>0</v>
      </c>
      <c r="K59" s="395">
        <f t="shared" ca="1" si="2"/>
        <v>0</v>
      </c>
      <c r="L59" s="395">
        <f t="shared" ca="1" si="3"/>
        <v>0</v>
      </c>
      <c r="M59" s="395">
        <f t="shared" ca="1" si="4"/>
        <v>16673611</v>
      </c>
      <c r="N59" s="395">
        <f t="shared" ca="1" si="5"/>
        <v>0</v>
      </c>
      <c r="O59" s="395">
        <f t="shared" ca="1" si="6"/>
        <v>0</v>
      </c>
      <c r="P59" s="395">
        <f t="shared" ca="1" si="7"/>
        <v>0</v>
      </c>
      <c r="Q59" s="395">
        <f t="shared" ca="1" si="8"/>
        <v>0</v>
      </c>
      <c r="R59" s="395">
        <f t="shared" ca="1" si="39"/>
        <v>0</v>
      </c>
      <c r="S59" s="395">
        <f t="shared" ca="1" si="40"/>
        <v>0</v>
      </c>
      <c r="T59" s="395">
        <f t="shared" ca="1" si="9"/>
        <v>0</v>
      </c>
      <c r="U59" s="395">
        <f t="shared" ca="1" si="10"/>
        <v>0</v>
      </c>
      <c r="V59" s="395">
        <f t="shared" ca="1" si="11"/>
        <v>0</v>
      </c>
      <c r="W59" s="395">
        <f t="shared" ca="1" si="12"/>
        <v>0</v>
      </c>
      <c r="X59" s="395">
        <f t="shared" ca="1" si="13"/>
        <v>0</v>
      </c>
      <c r="Y59" s="395">
        <f t="shared" ca="1" si="14"/>
        <v>0</v>
      </c>
      <c r="Z59" s="395">
        <f t="shared" ca="1" si="15"/>
        <v>0</v>
      </c>
      <c r="AA59" s="395">
        <f t="shared" ca="1" si="16"/>
        <v>0</v>
      </c>
      <c r="AB59" s="395">
        <f t="shared" ca="1" si="17"/>
        <v>0</v>
      </c>
      <c r="AC59" s="395">
        <f t="shared" ca="1" si="18"/>
        <v>0</v>
      </c>
      <c r="AD59" s="395">
        <f t="shared" ca="1" si="19"/>
        <v>0</v>
      </c>
      <c r="AE59" s="395">
        <f t="shared" ca="1" si="20"/>
        <v>0</v>
      </c>
      <c r="AF59" s="395">
        <f t="shared" ca="1" si="21"/>
        <v>0</v>
      </c>
      <c r="AG59" s="395">
        <f t="shared" ca="1" si="22"/>
        <v>0</v>
      </c>
      <c r="AH59" s="395">
        <f t="shared" ca="1" si="23"/>
        <v>0</v>
      </c>
      <c r="AI59" s="395">
        <f t="shared" ca="1" si="24"/>
        <v>0</v>
      </c>
      <c r="AJ59" s="395">
        <f t="shared" ca="1" si="25"/>
        <v>0</v>
      </c>
      <c r="AK59" s="395">
        <f t="shared" ca="1" si="26"/>
        <v>0</v>
      </c>
      <c r="AL59" s="395">
        <f t="shared" ca="1" si="27"/>
        <v>16673611</v>
      </c>
      <c r="AM59" s="395">
        <f t="shared" ca="1" si="28"/>
        <v>0</v>
      </c>
      <c r="AN59" s="395">
        <f t="shared" ca="1" si="29"/>
        <v>0</v>
      </c>
      <c r="AO59" s="395">
        <f t="shared" ca="1" si="30"/>
        <v>0</v>
      </c>
      <c r="AP59" s="395">
        <f t="shared" ca="1" si="31"/>
        <v>0</v>
      </c>
      <c r="AQ59" s="395">
        <f t="shared" ca="1" si="32"/>
        <v>0</v>
      </c>
      <c r="AR59" s="395">
        <f t="shared" ca="1" si="33"/>
        <v>0</v>
      </c>
      <c r="AS59" s="395">
        <f t="shared" ca="1" si="34"/>
        <v>0</v>
      </c>
      <c r="AT59" s="395">
        <f t="shared" ca="1" si="35"/>
        <v>0</v>
      </c>
      <c r="AU59" s="395">
        <f t="shared" ca="1" si="36"/>
        <v>0</v>
      </c>
      <c r="AV59" s="395">
        <f t="shared" ca="1" si="37"/>
        <v>0</v>
      </c>
      <c r="AW59" s="395">
        <f t="shared" ca="1" si="38"/>
        <v>0</v>
      </c>
    </row>
    <row r="60" spans="1:49" s="392" customFormat="1" ht="12" customHeight="1">
      <c r="A60" s="63">
        <f t="array" aca="1" ref="A60" ca="1">IF(C60&lt;&gt;0,SUM(($C$11:C60&lt;&gt;0)*1),"")</f>
        <v>50</v>
      </c>
      <c r="B60" s="393">
        <f ca="1">IF(ROWS($1:50)&gt;COUNT(Dong9),"",OFFSET(TH!C$1,SMALL(Dong9,ROWS($1:50)),))</f>
        <v>41993</v>
      </c>
      <c r="C60" s="393" t="str">
        <f ca="1">IF(ROWS($1:50)&gt;COUNT(Dong9),"",OFFSET(TH!D$1,SMALL(Dong9,ROWS($1:50)),))</f>
        <v>GBN</v>
      </c>
      <c r="D60" s="393">
        <f ca="1">IF(ROWS($1:50)&gt;COUNT(Dong9),"",OFFSET(TH!E$1,SMALL(Dong9,ROWS($1:50)),))</f>
        <v>41993</v>
      </c>
      <c r="E60" s="443" t="str">
        <f ca="1">IF(ROWS($1:50)&gt;COUNT(Dong9),"",OFFSET(TH!F$1,SMALL(Dong9,ROWS($1:50)),))</f>
        <v>Lãi vay KU 1402LDS201402374</v>
      </c>
      <c r="F60" s="444">
        <f ca="1">IF(ROWS($1:50)&gt;COUNT(Dong9),"",OFFSET(TH!I$1,SMALL(Dong9,ROWS($1:50)),))</f>
        <v>25788519</v>
      </c>
      <c r="G60" s="456" t="str">
        <f ca="1">IF(ROWS($1:50)&gt;COUNT(Dong9),"",OFFSET(TH!J$1,SMALL(Dong9,ROWS($1:50)),))</f>
        <v>635</v>
      </c>
      <c r="H60" s="456" t="str">
        <f ca="1">IF(ROWS($1:50)&gt;COUNT(Dong9),"",OFFSET(TH!K$1,SMALL(Dong9,ROWS($1:50)),))</f>
        <v>1121</v>
      </c>
      <c r="I60" s="63">
        <f t="shared" ca="1" si="0"/>
        <v>50</v>
      </c>
      <c r="J60" s="395">
        <f t="shared" ca="1" si="1"/>
        <v>0</v>
      </c>
      <c r="K60" s="395">
        <f t="shared" ca="1" si="2"/>
        <v>0</v>
      </c>
      <c r="L60" s="395">
        <f t="shared" ca="1" si="3"/>
        <v>0</v>
      </c>
      <c r="M60" s="395">
        <f t="shared" ca="1" si="4"/>
        <v>25788519</v>
      </c>
      <c r="N60" s="395">
        <f t="shared" ca="1" si="5"/>
        <v>0</v>
      </c>
      <c r="O60" s="395">
        <f t="shared" ca="1" si="6"/>
        <v>0</v>
      </c>
      <c r="P60" s="395">
        <f t="shared" ca="1" si="7"/>
        <v>0</v>
      </c>
      <c r="Q60" s="395">
        <f t="shared" ca="1" si="8"/>
        <v>0</v>
      </c>
      <c r="R60" s="395">
        <f t="shared" ca="1" si="39"/>
        <v>0</v>
      </c>
      <c r="S60" s="395">
        <f t="shared" ca="1" si="40"/>
        <v>0</v>
      </c>
      <c r="T60" s="395">
        <f t="shared" ca="1" si="9"/>
        <v>0</v>
      </c>
      <c r="U60" s="395">
        <f t="shared" ca="1" si="10"/>
        <v>0</v>
      </c>
      <c r="V60" s="395">
        <f t="shared" ca="1" si="11"/>
        <v>0</v>
      </c>
      <c r="W60" s="395">
        <f t="shared" ca="1" si="12"/>
        <v>0</v>
      </c>
      <c r="X60" s="395">
        <f t="shared" ca="1" si="13"/>
        <v>0</v>
      </c>
      <c r="Y60" s="395">
        <f t="shared" ca="1" si="14"/>
        <v>0</v>
      </c>
      <c r="Z60" s="395">
        <f t="shared" ca="1" si="15"/>
        <v>0</v>
      </c>
      <c r="AA60" s="395">
        <f t="shared" ca="1" si="16"/>
        <v>0</v>
      </c>
      <c r="AB60" s="395">
        <f t="shared" ca="1" si="17"/>
        <v>0</v>
      </c>
      <c r="AC60" s="395">
        <f t="shared" ca="1" si="18"/>
        <v>0</v>
      </c>
      <c r="AD60" s="395">
        <f t="shared" ca="1" si="19"/>
        <v>0</v>
      </c>
      <c r="AE60" s="395">
        <f t="shared" ca="1" si="20"/>
        <v>0</v>
      </c>
      <c r="AF60" s="395">
        <f t="shared" ca="1" si="21"/>
        <v>0</v>
      </c>
      <c r="AG60" s="395">
        <f t="shared" ca="1" si="22"/>
        <v>0</v>
      </c>
      <c r="AH60" s="395">
        <f t="shared" ca="1" si="23"/>
        <v>0</v>
      </c>
      <c r="AI60" s="395">
        <f t="shared" ca="1" si="24"/>
        <v>0</v>
      </c>
      <c r="AJ60" s="395">
        <f t="shared" ca="1" si="25"/>
        <v>0</v>
      </c>
      <c r="AK60" s="395">
        <f t="shared" ca="1" si="26"/>
        <v>0</v>
      </c>
      <c r="AL60" s="395">
        <f t="shared" ca="1" si="27"/>
        <v>25788519</v>
      </c>
      <c r="AM60" s="395">
        <f t="shared" ca="1" si="28"/>
        <v>0</v>
      </c>
      <c r="AN60" s="395">
        <f t="shared" ca="1" si="29"/>
        <v>0</v>
      </c>
      <c r="AO60" s="395">
        <f t="shared" ca="1" si="30"/>
        <v>0</v>
      </c>
      <c r="AP60" s="395">
        <f t="shared" ca="1" si="31"/>
        <v>0</v>
      </c>
      <c r="AQ60" s="395">
        <f t="shared" ca="1" si="32"/>
        <v>0</v>
      </c>
      <c r="AR60" s="395">
        <f t="shared" ca="1" si="33"/>
        <v>0</v>
      </c>
      <c r="AS60" s="395">
        <f t="shared" ca="1" si="34"/>
        <v>0</v>
      </c>
      <c r="AT60" s="395">
        <f t="shared" ca="1" si="35"/>
        <v>0</v>
      </c>
      <c r="AU60" s="395">
        <f t="shared" ca="1" si="36"/>
        <v>0</v>
      </c>
      <c r="AV60" s="395">
        <f t="shared" ca="1" si="37"/>
        <v>0</v>
      </c>
      <c r="AW60" s="395">
        <f t="shared" ca="1" si="38"/>
        <v>0</v>
      </c>
    </row>
    <row r="61" spans="1:49" s="392" customFormat="1" ht="12" customHeight="1">
      <c r="A61" s="63">
        <f t="array" aca="1" ref="A61" ca="1">IF(C61&lt;&gt;0,SUM(($C$11:C61&lt;&gt;0)*1),"")</f>
        <v>51</v>
      </c>
      <c r="B61" s="393">
        <f ca="1">IF(ROWS($1:51)&gt;COUNT(Dong9),"",OFFSET(TH!C$1,SMALL(Dong9,ROWS($1:51)),))</f>
        <v>41993</v>
      </c>
      <c r="C61" s="393" t="str">
        <f ca="1">IF(ROWS($1:51)&gt;COUNT(Dong9),"",OFFSET(TH!D$1,SMALL(Dong9,ROWS($1:51)),))</f>
        <v>C04</v>
      </c>
      <c r="D61" s="393">
        <f ca="1">IF(ROWS($1:51)&gt;COUNT(Dong9),"",OFFSET(TH!E$1,SMALL(Dong9,ROWS($1:51)),))</f>
        <v>41993</v>
      </c>
      <c r="E61" s="443" t="str">
        <f ca="1">IF(ROWS($1:51)&gt;COUNT(Dong9),"",OFFSET(TH!F$1,SMALL(Dong9,ROWS($1:51)),))</f>
        <v>Nộp tiền mặt vào tài khoản ngân hàng</v>
      </c>
      <c r="F61" s="444">
        <f ca="1">IF(ROWS($1:51)&gt;COUNT(Dong9),"",OFFSET(TH!I$1,SMALL(Dong9,ROWS($1:51)),))</f>
        <v>51000000</v>
      </c>
      <c r="G61" s="456" t="str">
        <f ca="1">IF(ROWS($1:51)&gt;COUNT(Dong9),"",OFFSET(TH!J$1,SMALL(Dong9,ROWS($1:51)),))</f>
        <v>1121</v>
      </c>
      <c r="H61" s="456" t="str">
        <f ca="1">IF(ROWS($1:51)&gt;COUNT(Dong9),"",OFFSET(TH!K$1,SMALL(Dong9,ROWS($1:51)),))</f>
        <v>1111</v>
      </c>
      <c r="I61" s="63">
        <f t="shared" ca="1" si="0"/>
        <v>51</v>
      </c>
      <c r="J61" s="395">
        <f t="shared" ca="1" si="1"/>
        <v>0</v>
      </c>
      <c r="K61" s="395">
        <f t="shared" ca="1" si="2"/>
        <v>51000000</v>
      </c>
      <c r="L61" s="395">
        <f t="shared" ca="1" si="3"/>
        <v>51000000</v>
      </c>
      <c r="M61" s="395">
        <f t="shared" ca="1" si="4"/>
        <v>0</v>
      </c>
      <c r="N61" s="395">
        <f t="shared" ca="1" si="5"/>
        <v>0</v>
      </c>
      <c r="O61" s="395">
        <f t="shared" ca="1" si="6"/>
        <v>0</v>
      </c>
      <c r="P61" s="395">
        <f t="shared" ca="1" si="7"/>
        <v>0</v>
      </c>
      <c r="Q61" s="395">
        <f t="shared" ca="1" si="8"/>
        <v>0</v>
      </c>
      <c r="R61" s="395">
        <f t="shared" ca="1" si="39"/>
        <v>0</v>
      </c>
      <c r="S61" s="395">
        <f t="shared" ca="1" si="40"/>
        <v>0</v>
      </c>
      <c r="T61" s="395">
        <f t="shared" ca="1" si="9"/>
        <v>0</v>
      </c>
      <c r="U61" s="395">
        <f t="shared" ca="1" si="10"/>
        <v>0</v>
      </c>
      <c r="V61" s="395">
        <f t="shared" ca="1" si="11"/>
        <v>0</v>
      </c>
      <c r="W61" s="395">
        <f t="shared" ca="1" si="12"/>
        <v>0</v>
      </c>
      <c r="X61" s="395">
        <f t="shared" ca="1" si="13"/>
        <v>0</v>
      </c>
      <c r="Y61" s="395">
        <f t="shared" ca="1" si="14"/>
        <v>0</v>
      </c>
      <c r="Z61" s="395">
        <f t="shared" ca="1" si="15"/>
        <v>0</v>
      </c>
      <c r="AA61" s="395">
        <f t="shared" ca="1" si="16"/>
        <v>0</v>
      </c>
      <c r="AB61" s="395">
        <f t="shared" ca="1" si="17"/>
        <v>0</v>
      </c>
      <c r="AC61" s="395">
        <f t="shared" ca="1" si="18"/>
        <v>0</v>
      </c>
      <c r="AD61" s="395">
        <f t="shared" ca="1" si="19"/>
        <v>0</v>
      </c>
      <c r="AE61" s="395">
        <f t="shared" ca="1" si="20"/>
        <v>0</v>
      </c>
      <c r="AF61" s="395">
        <f t="shared" ca="1" si="21"/>
        <v>0</v>
      </c>
      <c r="AG61" s="395">
        <f t="shared" ca="1" si="22"/>
        <v>0</v>
      </c>
      <c r="AH61" s="395">
        <f t="shared" ca="1" si="23"/>
        <v>0</v>
      </c>
      <c r="AI61" s="395">
        <f t="shared" ca="1" si="24"/>
        <v>0</v>
      </c>
      <c r="AJ61" s="395">
        <f t="shared" ca="1" si="25"/>
        <v>0</v>
      </c>
      <c r="AK61" s="395">
        <f t="shared" ca="1" si="26"/>
        <v>0</v>
      </c>
      <c r="AL61" s="395">
        <f t="shared" ca="1" si="27"/>
        <v>0</v>
      </c>
      <c r="AM61" s="395">
        <f t="shared" ca="1" si="28"/>
        <v>0</v>
      </c>
      <c r="AN61" s="395">
        <f t="shared" ca="1" si="29"/>
        <v>0</v>
      </c>
      <c r="AO61" s="395">
        <f t="shared" ca="1" si="30"/>
        <v>0</v>
      </c>
      <c r="AP61" s="395">
        <f t="shared" ca="1" si="31"/>
        <v>0</v>
      </c>
      <c r="AQ61" s="395">
        <f t="shared" ca="1" si="32"/>
        <v>0</v>
      </c>
      <c r="AR61" s="395">
        <f t="shared" ca="1" si="33"/>
        <v>0</v>
      </c>
      <c r="AS61" s="395">
        <f t="shared" ca="1" si="34"/>
        <v>0</v>
      </c>
      <c r="AT61" s="395">
        <f t="shared" ca="1" si="35"/>
        <v>0</v>
      </c>
      <c r="AU61" s="395">
        <f t="shared" ca="1" si="36"/>
        <v>0</v>
      </c>
      <c r="AV61" s="395">
        <f t="shared" ca="1" si="37"/>
        <v>0</v>
      </c>
      <c r="AW61" s="395">
        <f t="shared" ca="1" si="38"/>
        <v>0</v>
      </c>
    </row>
    <row r="62" spans="1:49" s="392" customFormat="1" ht="12" customHeight="1">
      <c r="A62" s="63">
        <f t="array" aca="1" ref="A62" ca="1">IF(C62&lt;&gt;0,SUM(($C$11:C62&lt;&gt;0)*1),"")</f>
        <v>52</v>
      </c>
      <c r="B62" s="393">
        <f ca="1">IF(ROWS($1:52)&gt;COUNT(Dong9),"",OFFSET(TH!C$1,SMALL(Dong9,ROWS($1:52)),))</f>
        <v>41996</v>
      </c>
      <c r="C62" s="393" t="str">
        <f ca="1">IF(ROWS($1:52)&gt;COUNT(Dong9),"",OFFSET(TH!D$1,SMALL(Dong9,ROWS($1:52)),))</f>
        <v>GBN</v>
      </c>
      <c r="D62" s="393">
        <f ca="1">IF(ROWS($1:52)&gt;COUNT(Dong9),"",OFFSET(TH!E$1,SMALL(Dong9,ROWS($1:52)),))</f>
        <v>41996</v>
      </c>
      <c r="E62" s="443" t="str">
        <f ca="1">IF(ROWS($1:52)&gt;COUNT(Dong9),"",OFFSET(TH!F$1,SMALL(Dong9,ROWS($1:52)),))</f>
        <v>Phí duy trì DV SMS - 0903921945</v>
      </c>
      <c r="F62" s="444">
        <f ca="1">IF(ROWS($1:52)&gt;COUNT(Dong9),"",OFFSET(TH!I$1,SMALL(Dong9,ROWS($1:52)),))</f>
        <v>50000</v>
      </c>
      <c r="G62" s="456" t="str">
        <f ca="1">IF(ROWS($1:52)&gt;COUNT(Dong9),"",OFFSET(TH!J$1,SMALL(Dong9,ROWS($1:52)),))</f>
        <v>642</v>
      </c>
      <c r="H62" s="456" t="str">
        <f ca="1">IF(ROWS($1:52)&gt;COUNT(Dong9),"",OFFSET(TH!K$1,SMALL(Dong9,ROWS($1:52)),))</f>
        <v>1121</v>
      </c>
      <c r="I62" s="63">
        <f t="shared" ca="1" si="0"/>
        <v>52</v>
      </c>
      <c r="J62" s="395">
        <f t="shared" ca="1" si="1"/>
        <v>0</v>
      </c>
      <c r="K62" s="395">
        <f t="shared" ca="1" si="2"/>
        <v>0</v>
      </c>
      <c r="L62" s="395">
        <f t="shared" ca="1" si="3"/>
        <v>0</v>
      </c>
      <c r="M62" s="395">
        <f t="shared" ca="1" si="4"/>
        <v>50000</v>
      </c>
      <c r="N62" s="395">
        <f t="shared" ca="1" si="5"/>
        <v>0</v>
      </c>
      <c r="O62" s="395">
        <f t="shared" ca="1" si="6"/>
        <v>0</v>
      </c>
      <c r="P62" s="395">
        <f t="shared" ca="1" si="7"/>
        <v>0</v>
      </c>
      <c r="Q62" s="395">
        <f t="shared" ca="1" si="8"/>
        <v>0</v>
      </c>
      <c r="R62" s="395">
        <f t="shared" ca="1" si="39"/>
        <v>0</v>
      </c>
      <c r="S62" s="395">
        <f t="shared" ca="1" si="40"/>
        <v>0</v>
      </c>
      <c r="T62" s="395">
        <f t="shared" ca="1" si="9"/>
        <v>0</v>
      </c>
      <c r="U62" s="395">
        <f t="shared" ca="1" si="10"/>
        <v>0</v>
      </c>
      <c r="V62" s="395">
        <f t="shared" ca="1" si="11"/>
        <v>0</v>
      </c>
      <c r="W62" s="395">
        <f t="shared" ca="1" si="12"/>
        <v>0</v>
      </c>
      <c r="X62" s="395">
        <f t="shared" ca="1" si="13"/>
        <v>0</v>
      </c>
      <c r="Y62" s="395">
        <f t="shared" ca="1" si="14"/>
        <v>0</v>
      </c>
      <c r="Z62" s="395">
        <f t="shared" ca="1" si="15"/>
        <v>0</v>
      </c>
      <c r="AA62" s="395">
        <f t="shared" ca="1" si="16"/>
        <v>0</v>
      </c>
      <c r="AB62" s="395">
        <f t="shared" ca="1" si="17"/>
        <v>0</v>
      </c>
      <c r="AC62" s="395">
        <f t="shared" ca="1" si="18"/>
        <v>0</v>
      </c>
      <c r="AD62" s="395">
        <f t="shared" ca="1" si="19"/>
        <v>0</v>
      </c>
      <c r="AE62" s="395">
        <f t="shared" ca="1" si="20"/>
        <v>0</v>
      </c>
      <c r="AF62" s="395">
        <f t="shared" ca="1" si="21"/>
        <v>0</v>
      </c>
      <c r="AG62" s="395">
        <f t="shared" ca="1" si="22"/>
        <v>0</v>
      </c>
      <c r="AH62" s="395">
        <f t="shared" ca="1" si="23"/>
        <v>0</v>
      </c>
      <c r="AI62" s="395">
        <f t="shared" ca="1" si="24"/>
        <v>0</v>
      </c>
      <c r="AJ62" s="395">
        <f t="shared" ca="1" si="25"/>
        <v>0</v>
      </c>
      <c r="AK62" s="395">
        <f t="shared" ca="1" si="26"/>
        <v>0</v>
      </c>
      <c r="AL62" s="395">
        <f t="shared" ca="1" si="27"/>
        <v>0</v>
      </c>
      <c r="AM62" s="395">
        <f t="shared" ca="1" si="28"/>
        <v>0</v>
      </c>
      <c r="AN62" s="395">
        <f t="shared" ca="1" si="29"/>
        <v>50000</v>
      </c>
      <c r="AO62" s="395">
        <f t="shared" ca="1" si="30"/>
        <v>0</v>
      </c>
      <c r="AP62" s="395">
        <f t="shared" ca="1" si="31"/>
        <v>0</v>
      </c>
      <c r="AQ62" s="395">
        <f t="shared" ca="1" si="32"/>
        <v>0</v>
      </c>
      <c r="AR62" s="395">
        <f t="shared" ca="1" si="33"/>
        <v>0</v>
      </c>
      <c r="AS62" s="395">
        <f t="shared" ca="1" si="34"/>
        <v>0</v>
      </c>
      <c r="AT62" s="395">
        <f t="shared" ca="1" si="35"/>
        <v>0</v>
      </c>
      <c r="AU62" s="395">
        <f t="shared" ca="1" si="36"/>
        <v>0</v>
      </c>
      <c r="AV62" s="395">
        <f t="shared" ca="1" si="37"/>
        <v>0</v>
      </c>
      <c r="AW62" s="395">
        <f t="shared" ca="1" si="38"/>
        <v>0</v>
      </c>
    </row>
    <row r="63" spans="1:49" s="392" customFormat="1" ht="12" customHeight="1">
      <c r="A63" s="63">
        <f t="array" aca="1" ref="A63" ca="1">IF(C63&lt;&gt;0,SUM(($C$11:C63&lt;&gt;0)*1),"")</f>
        <v>53</v>
      </c>
      <c r="B63" s="393">
        <f ca="1">IF(ROWS($1:53)&gt;COUNT(Dong9),"",OFFSET(TH!C$1,SMALL(Dong9,ROWS($1:53)),))</f>
        <v>41996</v>
      </c>
      <c r="C63" s="393" t="str">
        <f ca="1">IF(ROWS($1:53)&gt;COUNT(Dong9),"",OFFSET(TH!D$1,SMALL(Dong9,ROWS($1:53)),))</f>
        <v>GBN</v>
      </c>
      <c r="D63" s="393">
        <f ca="1">IF(ROWS($1:53)&gt;COUNT(Dong9),"",OFFSET(TH!E$1,SMALL(Dong9,ROWS($1:53)),))</f>
        <v>41996</v>
      </c>
      <c r="E63" s="443" t="str">
        <f ca="1">IF(ROWS($1:53)&gt;COUNT(Dong9),"",OFFSET(TH!F$1,SMALL(Dong9,ROWS($1:53)),))</f>
        <v>VAT Phí duy trì DV SMS</v>
      </c>
      <c r="F63" s="444">
        <f ca="1">IF(ROWS($1:53)&gt;COUNT(Dong9),"",OFFSET(TH!I$1,SMALL(Dong9,ROWS($1:53)),))</f>
        <v>5000</v>
      </c>
      <c r="G63" s="456" t="str">
        <f ca="1">IF(ROWS($1:53)&gt;COUNT(Dong9),"",OFFSET(TH!J$1,SMALL(Dong9,ROWS($1:53)),))</f>
        <v>1331</v>
      </c>
      <c r="H63" s="456" t="str">
        <f ca="1">IF(ROWS($1:53)&gt;COUNT(Dong9),"",OFFSET(TH!K$1,SMALL(Dong9,ROWS($1:53)),))</f>
        <v>1121</v>
      </c>
      <c r="I63" s="63">
        <f t="shared" ca="1" si="0"/>
        <v>53</v>
      </c>
      <c r="J63" s="395">
        <f t="shared" ca="1" si="1"/>
        <v>0</v>
      </c>
      <c r="K63" s="395">
        <f t="shared" ca="1" si="2"/>
        <v>0</v>
      </c>
      <c r="L63" s="395">
        <f t="shared" ca="1" si="3"/>
        <v>0</v>
      </c>
      <c r="M63" s="395">
        <f t="shared" ca="1" si="4"/>
        <v>5000</v>
      </c>
      <c r="N63" s="395">
        <f t="shared" ca="1" si="5"/>
        <v>5000</v>
      </c>
      <c r="O63" s="395">
        <f t="shared" ca="1" si="6"/>
        <v>0</v>
      </c>
      <c r="P63" s="395">
        <f t="shared" ca="1" si="7"/>
        <v>0</v>
      </c>
      <c r="Q63" s="395">
        <f t="shared" ca="1" si="8"/>
        <v>0</v>
      </c>
      <c r="R63" s="395">
        <f t="shared" ca="1" si="39"/>
        <v>0</v>
      </c>
      <c r="S63" s="395">
        <f t="shared" ca="1" si="40"/>
        <v>0</v>
      </c>
      <c r="T63" s="395">
        <f t="shared" ca="1" si="9"/>
        <v>0</v>
      </c>
      <c r="U63" s="395">
        <f t="shared" ca="1" si="10"/>
        <v>0</v>
      </c>
      <c r="V63" s="395">
        <f t="shared" ca="1" si="11"/>
        <v>0</v>
      </c>
      <c r="W63" s="395">
        <f t="shared" ca="1" si="12"/>
        <v>0</v>
      </c>
      <c r="X63" s="395">
        <f t="shared" ca="1" si="13"/>
        <v>0</v>
      </c>
      <c r="Y63" s="395">
        <f t="shared" ca="1" si="14"/>
        <v>0</v>
      </c>
      <c r="Z63" s="395">
        <f t="shared" ca="1" si="15"/>
        <v>0</v>
      </c>
      <c r="AA63" s="395">
        <f t="shared" ca="1" si="16"/>
        <v>0</v>
      </c>
      <c r="AB63" s="395">
        <f t="shared" ca="1" si="17"/>
        <v>0</v>
      </c>
      <c r="AC63" s="395">
        <f t="shared" ca="1" si="18"/>
        <v>0</v>
      </c>
      <c r="AD63" s="395">
        <f t="shared" ca="1" si="19"/>
        <v>0</v>
      </c>
      <c r="AE63" s="395">
        <f t="shared" ca="1" si="20"/>
        <v>0</v>
      </c>
      <c r="AF63" s="395">
        <f t="shared" ca="1" si="21"/>
        <v>0</v>
      </c>
      <c r="AG63" s="395">
        <f t="shared" ca="1" si="22"/>
        <v>0</v>
      </c>
      <c r="AH63" s="395">
        <f t="shared" ca="1" si="23"/>
        <v>0</v>
      </c>
      <c r="AI63" s="395">
        <f t="shared" ca="1" si="24"/>
        <v>0</v>
      </c>
      <c r="AJ63" s="395">
        <f t="shared" ca="1" si="25"/>
        <v>0</v>
      </c>
      <c r="AK63" s="395">
        <f t="shared" ca="1" si="26"/>
        <v>0</v>
      </c>
      <c r="AL63" s="395">
        <f t="shared" ca="1" si="27"/>
        <v>0</v>
      </c>
      <c r="AM63" s="395">
        <f t="shared" ca="1" si="28"/>
        <v>0</v>
      </c>
      <c r="AN63" s="395">
        <f t="shared" ca="1" si="29"/>
        <v>0</v>
      </c>
      <c r="AO63" s="395">
        <f t="shared" ca="1" si="30"/>
        <v>0</v>
      </c>
      <c r="AP63" s="395">
        <f t="shared" ca="1" si="31"/>
        <v>0</v>
      </c>
      <c r="AQ63" s="395">
        <f t="shared" ca="1" si="32"/>
        <v>0</v>
      </c>
      <c r="AR63" s="395">
        <f t="shared" ca="1" si="33"/>
        <v>0</v>
      </c>
      <c r="AS63" s="395">
        <f t="shared" ca="1" si="34"/>
        <v>0</v>
      </c>
      <c r="AT63" s="395">
        <f t="shared" ca="1" si="35"/>
        <v>0</v>
      </c>
      <c r="AU63" s="395">
        <f t="shared" ca="1" si="36"/>
        <v>0</v>
      </c>
      <c r="AV63" s="395">
        <f t="shared" ca="1" si="37"/>
        <v>0</v>
      </c>
      <c r="AW63" s="395">
        <f t="shared" ca="1" si="38"/>
        <v>0</v>
      </c>
    </row>
    <row r="64" spans="1:49" s="392" customFormat="1" ht="12" customHeight="1">
      <c r="A64" s="63">
        <f t="array" aca="1" ref="A64" ca="1">IF(C64&lt;&gt;0,SUM(($C$11:C64&lt;&gt;0)*1),"")</f>
        <v>54</v>
      </c>
      <c r="B64" s="393">
        <f ca="1">IF(ROWS($1:54)&gt;COUNT(Dong9),"",OFFSET(TH!C$1,SMALL(Dong9,ROWS($1:54)),))</f>
        <v>41996</v>
      </c>
      <c r="C64" s="393" t="str">
        <f ca="1">IF(ROWS($1:54)&gt;COUNT(Dong9),"",OFFSET(TH!D$1,SMALL(Dong9,ROWS($1:54)),))</f>
        <v>GBN</v>
      </c>
      <c r="D64" s="393">
        <f ca="1">IF(ROWS($1:54)&gt;COUNT(Dong9),"",OFFSET(TH!E$1,SMALL(Dong9,ROWS($1:54)),))</f>
        <v>41996</v>
      </c>
      <c r="E64" s="443" t="str">
        <f ca="1">IF(ROWS($1:54)&gt;COUNT(Dong9),"",OFFSET(TH!F$1,SMALL(Dong9,ROWS($1:54)),))</f>
        <v>Phí duy trì DV SMS - 0913906967</v>
      </c>
      <c r="F64" s="444">
        <f ca="1">IF(ROWS($1:54)&gt;COUNT(Dong9),"",OFFSET(TH!I$1,SMALL(Dong9,ROWS($1:54)),))</f>
        <v>50000</v>
      </c>
      <c r="G64" s="456" t="str">
        <f ca="1">IF(ROWS($1:54)&gt;COUNT(Dong9),"",OFFSET(TH!J$1,SMALL(Dong9,ROWS($1:54)),))</f>
        <v>642</v>
      </c>
      <c r="H64" s="456" t="str">
        <f ca="1">IF(ROWS($1:54)&gt;COUNT(Dong9),"",OFFSET(TH!K$1,SMALL(Dong9,ROWS($1:54)),))</f>
        <v>1121</v>
      </c>
      <c r="I64" s="63">
        <f t="shared" ca="1" si="0"/>
        <v>54</v>
      </c>
      <c r="J64" s="395">
        <f t="shared" ca="1" si="1"/>
        <v>0</v>
      </c>
      <c r="K64" s="395">
        <f t="shared" ca="1" si="2"/>
        <v>0</v>
      </c>
      <c r="L64" s="395">
        <f t="shared" ca="1" si="3"/>
        <v>0</v>
      </c>
      <c r="M64" s="395">
        <f t="shared" ca="1" si="4"/>
        <v>50000</v>
      </c>
      <c r="N64" s="395">
        <f t="shared" ca="1" si="5"/>
        <v>0</v>
      </c>
      <c r="O64" s="395">
        <f t="shared" ca="1" si="6"/>
        <v>0</v>
      </c>
      <c r="P64" s="395">
        <f t="shared" ca="1" si="7"/>
        <v>0</v>
      </c>
      <c r="Q64" s="395">
        <f t="shared" ca="1" si="8"/>
        <v>0</v>
      </c>
      <c r="R64" s="395">
        <f t="shared" ca="1" si="39"/>
        <v>0</v>
      </c>
      <c r="S64" s="395">
        <f t="shared" ca="1" si="40"/>
        <v>0</v>
      </c>
      <c r="T64" s="395">
        <f t="shared" ca="1" si="9"/>
        <v>0</v>
      </c>
      <c r="U64" s="395">
        <f t="shared" ca="1" si="10"/>
        <v>0</v>
      </c>
      <c r="V64" s="395">
        <f t="shared" ca="1" si="11"/>
        <v>0</v>
      </c>
      <c r="W64" s="395">
        <f t="shared" ca="1" si="12"/>
        <v>0</v>
      </c>
      <c r="X64" s="395">
        <f t="shared" ca="1" si="13"/>
        <v>0</v>
      </c>
      <c r="Y64" s="395">
        <f t="shared" ca="1" si="14"/>
        <v>0</v>
      </c>
      <c r="Z64" s="395">
        <f t="shared" ca="1" si="15"/>
        <v>0</v>
      </c>
      <c r="AA64" s="395">
        <f t="shared" ca="1" si="16"/>
        <v>0</v>
      </c>
      <c r="AB64" s="395">
        <f t="shared" ca="1" si="17"/>
        <v>0</v>
      </c>
      <c r="AC64" s="395">
        <f t="shared" ca="1" si="18"/>
        <v>0</v>
      </c>
      <c r="AD64" s="395">
        <f t="shared" ca="1" si="19"/>
        <v>0</v>
      </c>
      <c r="AE64" s="395">
        <f t="shared" ca="1" si="20"/>
        <v>0</v>
      </c>
      <c r="AF64" s="395">
        <f t="shared" ca="1" si="21"/>
        <v>0</v>
      </c>
      <c r="AG64" s="395">
        <f t="shared" ca="1" si="22"/>
        <v>0</v>
      </c>
      <c r="AH64" s="395">
        <f t="shared" ca="1" si="23"/>
        <v>0</v>
      </c>
      <c r="AI64" s="395">
        <f t="shared" ca="1" si="24"/>
        <v>0</v>
      </c>
      <c r="AJ64" s="395">
        <f t="shared" ca="1" si="25"/>
        <v>0</v>
      </c>
      <c r="AK64" s="395">
        <f t="shared" ca="1" si="26"/>
        <v>0</v>
      </c>
      <c r="AL64" s="395">
        <f t="shared" ca="1" si="27"/>
        <v>0</v>
      </c>
      <c r="AM64" s="395">
        <f t="shared" ca="1" si="28"/>
        <v>0</v>
      </c>
      <c r="AN64" s="395">
        <f t="shared" ca="1" si="29"/>
        <v>50000</v>
      </c>
      <c r="AO64" s="395">
        <f t="shared" ca="1" si="30"/>
        <v>0</v>
      </c>
      <c r="AP64" s="395">
        <f t="shared" ca="1" si="31"/>
        <v>0</v>
      </c>
      <c r="AQ64" s="395">
        <f t="shared" ca="1" si="32"/>
        <v>0</v>
      </c>
      <c r="AR64" s="395">
        <f t="shared" ca="1" si="33"/>
        <v>0</v>
      </c>
      <c r="AS64" s="395">
        <f t="shared" ca="1" si="34"/>
        <v>0</v>
      </c>
      <c r="AT64" s="395">
        <f t="shared" ca="1" si="35"/>
        <v>0</v>
      </c>
      <c r="AU64" s="395">
        <f t="shared" ca="1" si="36"/>
        <v>0</v>
      </c>
      <c r="AV64" s="395">
        <f t="shared" ca="1" si="37"/>
        <v>0</v>
      </c>
      <c r="AW64" s="395">
        <f t="shared" ca="1" si="38"/>
        <v>0</v>
      </c>
    </row>
    <row r="65" spans="1:49" s="392" customFormat="1" ht="12" customHeight="1">
      <c r="A65" s="63">
        <f t="array" aca="1" ref="A65" ca="1">IF(C65&lt;&gt;0,SUM(($C$11:C65&lt;&gt;0)*1),"")</f>
        <v>55</v>
      </c>
      <c r="B65" s="393">
        <f ca="1">IF(ROWS($1:55)&gt;COUNT(Dong9),"",OFFSET(TH!C$1,SMALL(Dong9,ROWS($1:55)),))</f>
        <v>41996</v>
      </c>
      <c r="C65" s="393" t="str">
        <f ca="1">IF(ROWS($1:55)&gt;COUNT(Dong9),"",OFFSET(TH!D$1,SMALL(Dong9,ROWS($1:55)),))</f>
        <v>GBN</v>
      </c>
      <c r="D65" s="393">
        <f ca="1">IF(ROWS($1:55)&gt;COUNT(Dong9),"",OFFSET(TH!E$1,SMALL(Dong9,ROWS($1:55)),))</f>
        <v>41996</v>
      </c>
      <c r="E65" s="443" t="str">
        <f ca="1">IF(ROWS($1:55)&gt;COUNT(Dong9),"",OFFSET(TH!F$1,SMALL(Dong9,ROWS($1:55)),))</f>
        <v>VAT Phí duy trì DV SMS</v>
      </c>
      <c r="F65" s="444">
        <f ca="1">IF(ROWS($1:55)&gt;COUNT(Dong9),"",OFFSET(TH!I$1,SMALL(Dong9,ROWS($1:55)),))</f>
        <v>5000</v>
      </c>
      <c r="G65" s="456" t="str">
        <f ca="1">IF(ROWS($1:55)&gt;COUNT(Dong9),"",OFFSET(TH!J$1,SMALL(Dong9,ROWS($1:55)),))</f>
        <v>1331</v>
      </c>
      <c r="H65" s="456" t="str">
        <f ca="1">IF(ROWS($1:55)&gt;COUNT(Dong9),"",OFFSET(TH!K$1,SMALL(Dong9,ROWS($1:55)),))</f>
        <v>1121</v>
      </c>
      <c r="I65" s="63">
        <f t="shared" ca="1" si="0"/>
        <v>55</v>
      </c>
      <c r="J65" s="395">
        <f t="shared" ca="1" si="1"/>
        <v>0</v>
      </c>
      <c r="K65" s="395">
        <f t="shared" ca="1" si="2"/>
        <v>0</v>
      </c>
      <c r="L65" s="395">
        <f t="shared" ca="1" si="3"/>
        <v>0</v>
      </c>
      <c r="M65" s="395">
        <f t="shared" ca="1" si="4"/>
        <v>5000</v>
      </c>
      <c r="N65" s="395">
        <f t="shared" ca="1" si="5"/>
        <v>5000</v>
      </c>
      <c r="O65" s="395">
        <f t="shared" ca="1" si="6"/>
        <v>0</v>
      </c>
      <c r="P65" s="395">
        <f t="shared" ca="1" si="7"/>
        <v>0</v>
      </c>
      <c r="Q65" s="395">
        <f t="shared" ca="1" si="8"/>
        <v>0</v>
      </c>
      <c r="R65" s="395">
        <f t="shared" ca="1" si="39"/>
        <v>0</v>
      </c>
      <c r="S65" s="395">
        <f t="shared" ca="1" si="40"/>
        <v>0</v>
      </c>
      <c r="T65" s="395">
        <f t="shared" ca="1" si="9"/>
        <v>0</v>
      </c>
      <c r="U65" s="395">
        <f t="shared" ca="1" si="10"/>
        <v>0</v>
      </c>
      <c r="V65" s="395">
        <f t="shared" ca="1" si="11"/>
        <v>0</v>
      </c>
      <c r="W65" s="395">
        <f t="shared" ca="1" si="12"/>
        <v>0</v>
      </c>
      <c r="X65" s="395">
        <f t="shared" ca="1" si="13"/>
        <v>0</v>
      </c>
      <c r="Y65" s="395">
        <f t="shared" ca="1" si="14"/>
        <v>0</v>
      </c>
      <c r="Z65" s="395">
        <f t="shared" ca="1" si="15"/>
        <v>0</v>
      </c>
      <c r="AA65" s="395">
        <f t="shared" ca="1" si="16"/>
        <v>0</v>
      </c>
      <c r="AB65" s="395">
        <f t="shared" ca="1" si="17"/>
        <v>0</v>
      </c>
      <c r="AC65" s="395">
        <f t="shared" ca="1" si="18"/>
        <v>0</v>
      </c>
      <c r="AD65" s="395">
        <f t="shared" ca="1" si="19"/>
        <v>0</v>
      </c>
      <c r="AE65" s="395">
        <f t="shared" ca="1" si="20"/>
        <v>0</v>
      </c>
      <c r="AF65" s="395">
        <f t="shared" ca="1" si="21"/>
        <v>0</v>
      </c>
      <c r="AG65" s="395">
        <f t="shared" ca="1" si="22"/>
        <v>0</v>
      </c>
      <c r="AH65" s="395">
        <f t="shared" ca="1" si="23"/>
        <v>0</v>
      </c>
      <c r="AI65" s="395">
        <f t="shared" ca="1" si="24"/>
        <v>0</v>
      </c>
      <c r="AJ65" s="395">
        <f t="shared" ca="1" si="25"/>
        <v>0</v>
      </c>
      <c r="AK65" s="395">
        <f t="shared" ca="1" si="26"/>
        <v>0</v>
      </c>
      <c r="AL65" s="395">
        <f t="shared" ca="1" si="27"/>
        <v>0</v>
      </c>
      <c r="AM65" s="395">
        <f t="shared" ca="1" si="28"/>
        <v>0</v>
      </c>
      <c r="AN65" s="395">
        <f t="shared" ca="1" si="29"/>
        <v>0</v>
      </c>
      <c r="AO65" s="395">
        <f t="shared" ca="1" si="30"/>
        <v>0</v>
      </c>
      <c r="AP65" s="395">
        <f t="shared" ca="1" si="31"/>
        <v>0</v>
      </c>
      <c r="AQ65" s="395">
        <f t="shared" ca="1" si="32"/>
        <v>0</v>
      </c>
      <c r="AR65" s="395">
        <f t="shared" ca="1" si="33"/>
        <v>0</v>
      </c>
      <c r="AS65" s="395">
        <f t="shared" ca="1" si="34"/>
        <v>0</v>
      </c>
      <c r="AT65" s="395">
        <f t="shared" ca="1" si="35"/>
        <v>0</v>
      </c>
      <c r="AU65" s="395">
        <f t="shared" ca="1" si="36"/>
        <v>0</v>
      </c>
      <c r="AV65" s="395">
        <f t="shared" ca="1" si="37"/>
        <v>0</v>
      </c>
      <c r="AW65" s="395">
        <f t="shared" ca="1" si="38"/>
        <v>0</v>
      </c>
    </row>
    <row r="66" spans="1:49" s="392" customFormat="1" ht="12" customHeight="1">
      <c r="A66" s="63">
        <f t="array" aca="1" ref="A66" ca="1">IF(C66&lt;&gt;0,SUM(($C$11:C66&lt;&gt;0)*1),"")</f>
        <v>56</v>
      </c>
      <c r="B66" s="393">
        <f ca="1">IF(ROWS($1:56)&gt;COUNT(Dong9),"",OFFSET(TH!C$1,SMALL(Dong9,ROWS($1:56)),))</f>
        <v>41996</v>
      </c>
      <c r="C66" s="393" t="str">
        <f ca="1">IF(ROWS($1:56)&gt;COUNT(Dong9),"",OFFSET(TH!D$1,SMALL(Dong9,ROWS($1:56)),))</f>
        <v>GBN</v>
      </c>
      <c r="D66" s="393">
        <f ca="1">IF(ROWS($1:56)&gt;COUNT(Dong9),"",OFFSET(TH!E$1,SMALL(Dong9,ROWS($1:56)),))</f>
        <v>41996</v>
      </c>
      <c r="E66" s="443" t="str">
        <f ca="1">IF(ROWS($1:56)&gt;COUNT(Dong9),"",OFFSET(TH!F$1,SMALL(Dong9,ROWS($1:56)),))</f>
        <v>Phí duy trì DV SMS - 0982911262</v>
      </c>
      <c r="F66" s="444">
        <f ca="1">IF(ROWS($1:56)&gt;COUNT(Dong9),"",OFFSET(TH!I$1,SMALL(Dong9,ROWS($1:56)),))</f>
        <v>50000</v>
      </c>
      <c r="G66" s="456" t="str">
        <f ca="1">IF(ROWS($1:56)&gt;COUNT(Dong9),"",OFFSET(TH!J$1,SMALL(Dong9,ROWS($1:56)),))</f>
        <v>642</v>
      </c>
      <c r="H66" s="456" t="str">
        <f ca="1">IF(ROWS($1:56)&gt;COUNT(Dong9),"",OFFSET(TH!K$1,SMALL(Dong9,ROWS($1:56)),))</f>
        <v>1121</v>
      </c>
      <c r="I66" s="63">
        <f t="shared" ca="1" si="0"/>
        <v>56</v>
      </c>
      <c r="J66" s="395">
        <f t="shared" ca="1" si="1"/>
        <v>0</v>
      </c>
      <c r="K66" s="395">
        <f t="shared" ca="1" si="2"/>
        <v>0</v>
      </c>
      <c r="L66" s="395">
        <f t="shared" ca="1" si="3"/>
        <v>0</v>
      </c>
      <c r="M66" s="395">
        <f t="shared" ca="1" si="4"/>
        <v>50000</v>
      </c>
      <c r="N66" s="395">
        <f t="shared" ca="1" si="5"/>
        <v>0</v>
      </c>
      <c r="O66" s="395">
        <f t="shared" ca="1" si="6"/>
        <v>0</v>
      </c>
      <c r="P66" s="395">
        <f t="shared" ca="1" si="7"/>
        <v>0</v>
      </c>
      <c r="Q66" s="395">
        <f t="shared" ca="1" si="8"/>
        <v>0</v>
      </c>
      <c r="R66" s="395">
        <f t="shared" ca="1" si="39"/>
        <v>0</v>
      </c>
      <c r="S66" s="395">
        <f t="shared" ca="1" si="40"/>
        <v>0</v>
      </c>
      <c r="T66" s="395">
        <f t="shared" ca="1" si="9"/>
        <v>0</v>
      </c>
      <c r="U66" s="395">
        <f t="shared" ca="1" si="10"/>
        <v>0</v>
      </c>
      <c r="V66" s="395">
        <f t="shared" ca="1" si="11"/>
        <v>0</v>
      </c>
      <c r="W66" s="395">
        <f t="shared" ca="1" si="12"/>
        <v>0</v>
      </c>
      <c r="X66" s="395">
        <f t="shared" ca="1" si="13"/>
        <v>0</v>
      </c>
      <c r="Y66" s="395">
        <f t="shared" ca="1" si="14"/>
        <v>0</v>
      </c>
      <c r="Z66" s="395">
        <f t="shared" ca="1" si="15"/>
        <v>0</v>
      </c>
      <c r="AA66" s="395">
        <f t="shared" ca="1" si="16"/>
        <v>0</v>
      </c>
      <c r="AB66" s="395">
        <f t="shared" ca="1" si="17"/>
        <v>0</v>
      </c>
      <c r="AC66" s="395">
        <f t="shared" ca="1" si="18"/>
        <v>0</v>
      </c>
      <c r="AD66" s="395">
        <f t="shared" ca="1" si="19"/>
        <v>0</v>
      </c>
      <c r="AE66" s="395">
        <f t="shared" ca="1" si="20"/>
        <v>0</v>
      </c>
      <c r="AF66" s="395">
        <f t="shared" ca="1" si="21"/>
        <v>0</v>
      </c>
      <c r="AG66" s="395">
        <f t="shared" ca="1" si="22"/>
        <v>0</v>
      </c>
      <c r="AH66" s="395">
        <f t="shared" ca="1" si="23"/>
        <v>0</v>
      </c>
      <c r="AI66" s="395">
        <f t="shared" ca="1" si="24"/>
        <v>0</v>
      </c>
      <c r="AJ66" s="395">
        <f t="shared" ca="1" si="25"/>
        <v>0</v>
      </c>
      <c r="AK66" s="395">
        <f t="shared" ca="1" si="26"/>
        <v>0</v>
      </c>
      <c r="AL66" s="395">
        <f t="shared" ca="1" si="27"/>
        <v>0</v>
      </c>
      <c r="AM66" s="395">
        <f t="shared" ca="1" si="28"/>
        <v>0</v>
      </c>
      <c r="AN66" s="395">
        <f t="shared" ca="1" si="29"/>
        <v>50000</v>
      </c>
      <c r="AO66" s="395">
        <f t="shared" ca="1" si="30"/>
        <v>0</v>
      </c>
      <c r="AP66" s="395">
        <f t="shared" ca="1" si="31"/>
        <v>0</v>
      </c>
      <c r="AQ66" s="395">
        <f t="shared" ca="1" si="32"/>
        <v>0</v>
      </c>
      <c r="AR66" s="395">
        <f t="shared" ca="1" si="33"/>
        <v>0</v>
      </c>
      <c r="AS66" s="395">
        <f t="shared" ca="1" si="34"/>
        <v>0</v>
      </c>
      <c r="AT66" s="395">
        <f t="shared" ca="1" si="35"/>
        <v>0</v>
      </c>
      <c r="AU66" s="395">
        <f t="shared" ca="1" si="36"/>
        <v>0</v>
      </c>
      <c r="AV66" s="395">
        <f t="shared" ca="1" si="37"/>
        <v>0</v>
      </c>
      <c r="AW66" s="395">
        <f t="shared" ca="1" si="38"/>
        <v>0</v>
      </c>
    </row>
    <row r="67" spans="1:49" s="392" customFormat="1" ht="12" customHeight="1">
      <c r="A67" s="63">
        <f t="array" aca="1" ref="A67" ca="1">IF(C67&lt;&gt;0,SUM(($C$11:C67&lt;&gt;0)*1),"")</f>
        <v>57</v>
      </c>
      <c r="B67" s="393">
        <f ca="1">IF(ROWS($1:57)&gt;COUNT(Dong9),"",OFFSET(TH!C$1,SMALL(Dong9,ROWS($1:57)),))</f>
        <v>41996</v>
      </c>
      <c r="C67" s="393" t="str">
        <f ca="1">IF(ROWS($1:57)&gt;COUNT(Dong9),"",OFFSET(TH!D$1,SMALL(Dong9,ROWS($1:57)),))</f>
        <v>GBN</v>
      </c>
      <c r="D67" s="393">
        <f ca="1">IF(ROWS($1:57)&gt;COUNT(Dong9),"",OFFSET(TH!E$1,SMALL(Dong9,ROWS($1:57)),))</f>
        <v>41996</v>
      </c>
      <c r="E67" s="443" t="str">
        <f ca="1">IF(ROWS($1:57)&gt;COUNT(Dong9),"",OFFSET(TH!F$1,SMALL(Dong9,ROWS($1:57)),))</f>
        <v>VAT Phí duy trì DV SMS</v>
      </c>
      <c r="F67" s="444">
        <f ca="1">IF(ROWS($1:57)&gt;COUNT(Dong9),"",OFFSET(TH!I$1,SMALL(Dong9,ROWS($1:57)),))</f>
        <v>5000</v>
      </c>
      <c r="G67" s="456" t="str">
        <f ca="1">IF(ROWS($1:57)&gt;COUNT(Dong9),"",OFFSET(TH!J$1,SMALL(Dong9,ROWS($1:57)),))</f>
        <v>1331</v>
      </c>
      <c r="H67" s="456" t="str">
        <f ca="1">IF(ROWS($1:57)&gt;COUNT(Dong9),"",OFFSET(TH!K$1,SMALL(Dong9,ROWS($1:57)),))</f>
        <v>1121</v>
      </c>
      <c r="I67" s="63">
        <f t="shared" ca="1" si="0"/>
        <v>57</v>
      </c>
      <c r="J67" s="395">
        <f t="shared" ca="1" si="1"/>
        <v>0</v>
      </c>
      <c r="K67" s="395">
        <f t="shared" ca="1" si="2"/>
        <v>0</v>
      </c>
      <c r="L67" s="395">
        <f t="shared" ca="1" si="3"/>
        <v>0</v>
      </c>
      <c r="M67" s="395">
        <f t="shared" ca="1" si="4"/>
        <v>5000</v>
      </c>
      <c r="N67" s="395">
        <f t="shared" ca="1" si="5"/>
        <v>5000</v>
      </c>
      <c r="O67" s="395">
        <f t="shared" ca="1" si="6"/>
        <v>0</v>
      </c>
      <c r="P67" s="395">
        <f t="shared" ca="1" si="7"/>
        <v>0</v>
      </c>
      <c r="Q67" s="395">
        <f t="shared" ca="1" si="8"/>
        <v>0</v>
      </c>
      <c r="R67" s="395">
        <f t="shared" ca="1" si="39"/>
        <v>0</v>
      </c>
      <c r="S67" s="395">
        <f t="shared" ca="1" si="40"/>
        <v>0</v>
      </c>
      <c r="T67" s="395">
        <f t="shared" ca="1" si="9"/>
        <v>0</v>
      </c>
      <c r="U67" s="395">
        <f t="shared" ca="1" si="10"/>
        <v>0</v>
      </c>
      <c r="V67" s="395">
        <f t="shared" ca="1" si="11"/>
        <v>0</v>
      </c>
      <c r="W67" s="395">
        <f t="shared" ca="1" si="12"/>
        <v>0</v>
      </c>
      <c r="X67" s="395">
        <f t="shared" ca="1" si="13"/>
        <v>0</v>
      </c>
      <c r="Y67" s="395">
        <f t="shared" ca="1" si="14"/>
        <v>0</v>
      </c>
      <c r="Z67" s="395">
        <f t="shared" ca="1" si="15"/>
        <v>0</v>
      </c>
      <c r="AA67" s="395">
        <f t="shared" ca="1" si="16"/>
        <v>0</v>
      </c>
      <c r="AB67" s="395">
        <f t="shared" ca="1" si="17"/>
        <v>0</v>
      </c>
      <c r="AC67" s="395">
        <f t="shared" ca="1" si="18"/>
        <v>0</v>
      </c>
      <c r="AD67" s="395">
        <f t="shared" ca="1" si="19"/>
        <v>0</v>
      </c>
      <c r="AE67" s="395">
        <f t="shared" ca="1" si="20"/>
        <v>0</v>
      </c>
      <c r="AF67" s="395">
        <f t="shared" ca="1" si="21"/>
        <v>0</v>
      </c>
      <c r="AG67" s="395">
        <f t="shared" ca="1" si="22"/>
        <v>0</v>
      </c>
      <c r="AH67" s="395">
        <f t="shared" ca="1" si="23"/>
        <v>0</v>
      </c>
      <c r="AI67" s="395">
        <f t="shared" ca="1" si="24"/>
        <v>0</v>
      </c>
      <c r="AJ67" s="395">
        <f t="shared" ca="1" si="25"/>
        <v>0</v>
      </c>
      <c r="AK67" s="395">
        <f t="shared" ca="1" si="26"/>
        <v>0</v>
      </c>
      <c r="AL67" s="395">
        <f t="shared" ca="1" si="27"/>
        <v>0</v>
      </c>
      <c r="AM67" s="395">
        <f t="shared" ca="1" si="28"/>
        <v>0</v>
      </c>
      <c r="AN67" s="395">
        <f t="shared" ca="1" si="29"/>
        <v>0</v>
      </c>
      <c r="AO67" s="395">
        <f t="shared" ca="1" si="30"/>
        <v>0</v>
      </c>
      <c r="AP67" s="395">
        <f t="shared" ca="1" si="31"/>
        <v>0</v>
      </c>
      <c r="AQ67" s="395">
        <f t="shared" ca="1" si="32"/>
        <v>0</v>
      </c>
      <c r="AR67" s="395">
        <f t="shared" ca="1" si="33"/>
        <v>0</v>
      </c>
      <c r="AS67" s="395">
        <f t="shared" ca="1" si="34"/>
        <v>0</v>
      </c>
      <c r="AT67" s="395">
        <f t="shared" ca="1" si="35"/>
        <v>0</v>
      </c>
      <c r="AU67" s="395">
        <f t="shared" ca="1" si="36"/>
        <v>0</v>
      </c>
      <c r="AV67" s="395">
        <f t="shared" ca="1" si="37"/>
        <v>0</v>
      </c>
      <c r="AW67" s="395">
        <f t="shared" ca="1" si="38"/>
        <v>0</v>
      </c>
    </row>
    <row r="68" spans="1:49" s="392" customFormat="1" ht="12" customHeight="1">
      <c r="A68" s="63">
        <f t="array" aca="1" ref="A68" ca="1">IF(C68&lt;&gt;0,SUM(($C$11:C68&lt;&gt;0)*1),"")</f>
        <v>58</v>
      </c>
      <c r="B68" s="393">
        <f ca="1">IF(ROWS($1:58)&gt;COUNT(Dong9),"",OFFSET(TH!C$1,SMALL(Dong9,ROWS($1:58)),))</f>
        <v>41998</v>
      </c>
      <c r="C68" s="393" t="str">
        <f ca="1">IF(ROWS($1:58)&gt;COUNT(Dong9),"",OFFSET(TH!D$1,SMALL(Dong9,ROWS($1:58)),))</f>
        <v>GBC</v>
      </c>
      <c r="D68" s="393">
        <f ca="1">IF(ROWS($1:58)&gt;COUNT(Dong9),"",OFFSET(TH!E$1,SMALL(Dong9,ROWS($1:58)),))</f>
        <v>41998</v>
      </c>
      <c r="E68" s="443" t="str">
        <f ca="1">IF(ROWS($1:58)&gt;COUNT(Dong9),"",OFFSET(TH!F$1,SMALL(Dong9,ROWS($1:58)),))</f>
        <v>Lãi tiền gửi</v>
      </c>
      <c r="F68" s="444">
        <f ca="1">IF(ROWS($1:58)&gt;COUNT(Dong9),"",OFFSET(TH!I$1,SMALL(Dong9,ROWS($1:58)),))</f>
        <v>125079</v>
      </c>
      <c r="G68" s="456" t="str">
        <f ca="1">IF(ROWS($1:58)&gt;COUNT(Dong9),"",OFFSET(TH!J$1,SMALL(Dong9,ROWS($1:58)),))</f>
        <v>1121</v>
      </c>
      <c r="H68" s="456" t="str">
        <f ca="1">IF(ROWS($1:58)&gt;COUNT(Dong9),"",OFFSET(TH!K$1,SMALL(Dong9,ROWS($1:58)),))</f>
        <v>515</v>
      </c>
      <c r="I68" s="63">
        <f t="shared" ca="1" si="0"/>
        <v>58</v>
      </c>
      <c r="J68" s="395">
        <f t="shared" ca="1" si="1"/>
        <v>0</v>
      </c>
      <c r="K68" s="395">
        <f t="shared" ca="1" si="2"/>
        <v>0</v>
      </c>
      <c r="L68" s="395">
        <f t="shared" ca="1" si="3"/>
        <v>125079</v>
      </c>
      <c r="M68" s="395">
        <f t="shared" ca="1" si="4"/>
        <v>0</v>
      </c>
      <c r="N68" s="395">
        <f t="shared" ca="1" si="5"/>
        <v>0</v>
      </c>
      <c r="O68" s="395">
        <f t="shared" ca="1" si="6"/>
        <v>0</v>
      </c>
      <c r="P68" s="395">
        <f t="shared" ca="1" si="7"/>
        <v>0</v>
      </c>
      <c r="Q68" s="395">
        <f t="shared" ca="1" si="8"/>
        <v>0</v>
      </c>
      <c r="R68" s="395">
        <f t="shared" ca="1" si="39"/>
        <v>0</v>
      </c>
      <c r="S68" s="395">
        <f t="shared" ca="1" si="40"/>
        <v>0</v>
      </c>
      <c r="T68" s="395">
        <f t="shared" ca="1" si="9"/>
        <v>0</v>
      </c>
      <c r="U68" s="395">
        <f t="shared" ca="1" si="10"/>
        <v>0</v>
      </c>
      <c r="V68" s="395">
        <f t="shared" ca="1" si="11"/>
        <v>0</v>
      </c>
      <c r="W68" s="395">
        <f t="shared" ca="1" si="12"/>
        <v>0</v>
      </c>
      <c r="X68" s="395">
        <f t="shared" ca="1" si="13"/>
        <v>0</v>
      </c>
      <c r="Y68" s="395">
        <f t="shared" ca="1" si="14"/>
        <v>0</v>
      </c>
      <c r="Z68" s="395">
        <f t="shared" ca="1" si="15"/>
        <v>0</v>
      </c>
      <c r="AA68" s="395">
        <f t="shared" ca="1" si="16"/>
        <v>0</v>
      </c>
      <c r="AB68" s="395">
        <f t="shared" ca="1" si="17"/>
        <v>0</v>
      </c>
      <c r="AC68" s="395">
        <f t="shared" ca="1" si="18"/>
        <v>0</v>
      </c>
      <c r="AD68" s="395">
        <f t="shared" ca="1" si="19"/>
        <v>0</v>
      </c>
      <c r="AE68" s="395">
        <f t="shared" ca="1" si="20"/>
        <v>0</v>
      </c>
      <c r="AF68" s="395">
        <f t="shared" ca="1" si="21"/>
        <v>0</v>
      </c>
      <c r="AG68" s="395">
        <f t="shared" ca="1" si="22"/>
        <v>0</v>
      </c>
      <c r="AH68" s="395">
        <f t="shared" ca="1" si="23"/>
        <v>0</v>
      </c>
      <c r="AI68" s="395">
        <f t="shared" ca="1" si="24"/>
        <v>0</v>
      </c>
      <c r="AJ68" s="395">
        <f t="shared" ca="1" si="25"/>
        <v>0</v>
      </c>
      <c r="AK68" s="395">
        <f t="shared" ca="1" si="26"/>
        <v>125079</v>
      </c>
      <c r="AL68" s="395">
        <f t="shared" ca="1" si="27"/>
        <v>0</v>
      </c>
      <c r="AM68" s="395">
        <f t="shared" ca="1" si="28"/>
        <v>0</v>
      </c>
      <c r="AN68" s="395">
        <f t="shared" ca="1" si="29"/>
        <v>0</v>
      </c>
      <c r="AO68" s="395">
        <f t="shared" ca="1" si="30"/>
        <v>0</v>
      </c>
      <c r="AP68" s="395">
        <f t="shared" ca="1" si="31"/>
        <v>0</v>
      </c>
      <c r="AQ68" s="395">
        <f t="shared" ca="1" si="32"/>
        <v>0</v>
      </c>
      <c r="AR68" s="395">
        <f t="shared" ca="1" si="33"/>
        <v>0</v>
      </c>
      <c r="AS68" s="395">
        <f t="shared" ca="1" si="34"/>
        <v>0</v>
      </c>
      <c r="AT68" s="395">
        <f t="shared" ca="1" si="35"/>
        <v>0</v>
      </c>
      <c r="AU68" s="395">
        <f t="shared" ca="1" si="36"/>
        <v>0</v>
      </c>
      <c r="AV68" s="395">
        <f t="shared" ca="1" si="37"/>
        <v>0</v>
      </c>
      <c r="AW68" s="395">
        <f t="shared" ca="1" si="38"/>
        <v>0</v>
      </c>
    </row>
    <row r="69" spans="1:49" s="392" customFormat="1" ht="12" customHeight="1">
      <c r="A69" s="63">
        <f t="array" aca="1" ref="A69" ca="1">IF(C69&lt;&gt;0,SUM(($C$11:C69&lt;&gt;0)*1),"")</f>
        <v>59</v>
      </c>
      <c r="B69" s="393">
        <f ca="1">IF(ROWS($1:59)&gt;COUNT(Dong9),"",OFFSET(TH!C$1,SMALL(Dong9,ROWS($1:59)),))</f>
        <v>42003</v>
      </c>
      <c r="C69" s="393" t="str">
        <f ca="1">IF(ROWS($1:59)&gt;COUNT(Dong9),"",OFFSET(TH!D$1,SMALL(Dong9,ROWS($1:59)),))</f>
        <v>C05</v>
      </c>
      <c r="D69" s="393">
        <f ca="1">IF(ROWS($1:59)&gt;COUNT(Dong9),"",OFFSET(TH!E$1,SMALL(Dong9,ROWS($1:59)),))</f>
        <v>42003</v>
      </c>
      <c r="E69" s="443" t="str">
        <f ca="1">IF(ROWS($1:59)&gt;COUNT(Dong9),"",OFFSET(TH!F$1,SMALL(Dong9,ROWS($1:59)),))</f>
        <v>Nộp tiền mặt vào tài khoản ngân hàng</v>
      </c>
      <c r="F69" s="444">
        <f ca="1">IF(ROWS($1:59)&gt;COUNT(Dong9),"",OFFSET(TH!I$1,SMALL(Dong9,ROWS($1:59)),))</f>
        <v>1000000</v>
      </c>
      <c r="G69" s="456" t="str">
        <f ca="1">IF(ROWS($1:59)&gt;COUNT(Dong9),"",OFFSET(TH!J$1,SMALL(Dong9,ROWS($1:59)),))</f>
        <v>1121</v>
      </c>
      <c r="H69" s="456" t="str">
        <f ca="1">IF(ROWS($1:59)&gt;COUNT(Dong9),"",OFFSET(TH!K$1,SMALL(Dong9,ROWS($1:59)),))</f>
        <v>1111</v>
      </c>
      <c r="I69" s="63">
        <f t="shared" ca="1" si="0"/>
        <v>59</v>
      </c>
      <c r="J69" s="395">
        <f t="shared" ca="1" si="1"/>
        <v>0</v>
      </c>
      <c r="K69" s="395">
        <f t="shared" ca="1" si="2"/>
        <v>1000000</v>
      </c>
      <c r="L69" s="395">
        <f t="shared" ca="1" si="3"/>
        <v>1000000</v>
      </c>
      <c r="M69" s="395">
        <f t="shared" ca="1" si="4"/>
        <v>0</v>
      </c>
      <c r="N69" s="395">
        <f t="shared" ca="1" si="5"/>
        <v>0</v>
      </c>
      <c r="O69" s="395">
        <f t="shared" ca="1" si="6"/>
        <v>0</v>
      </c>
      <c r="P69" s="395">
        <f t="shared" ca="1" si="7"/>
        <v>0</v>
      </c>
      <c r="Q69" s="395">
        <f t="shared" ca="1" si="8"/>
        <v>0</v>
      </c>
      <c r="R69" s="395">
        <f t="shared" ca="1" si="39"/>
        <v>0</v>
      </c>
      <c r="S69" s="395">
        <f t="shared" ca="1" si="40"/>
        <v>0</v>
      </c>
      <c r="T69" s="395">
        <f t="shared" ca="1" si="9"/>
        <v>0</v>
      </c>
      <c r="U69" s="395">
        <f t="shared" ca="1" si="10"/>
        <v>0</v>
      </c>
      <c r="V69" s="395">
        <f t="shared" ca="1" si="11"/>
        <v>0</v>
      </c>
      <c r="W69" s="395">
        <f t="shared" ca="1" si="12"/>
        <v>0</v>
      </c>
      <c r="X69" s="395">
        <f t="shared" ca="1" si="13"/>
        <v>0</v>
      </c>
      <c r="Y69" s="395">
        <f t="shared" ca="1" si="14"/>
        <v>0</v>
      </c>
      <c r="Z69" s="395">
        <f t="shared" ca="1" si="15"/>
        <v>0</v>
      </c>
      <c r="AA69" s="395">
        <f t="shared" ca="1" si="16"/>
        <v>0</v>
      </c>
      <c r="AB69" s="395">
        <f t="shared" ca="1" si="17"/>
        <v>0</v>
      </c>
      <c r="AC69" s="395">
        <f t="shared" ca="1" si="18"/>
        <v>0</v>
      </c>
      <c r="AD69" s="395">
        <f t="shared" ca="1" si="19"/>
        <v>0</v>
      </c>
      <c r="AE69" s="395">
        <f t="shared" ca="1" si="20"/>
        <v>0</v>
      </c>
      <c r="AF69" s="395">
        <f t="shared" ca="1" si="21"/>
        <v>0</v>
      </c>
      <c r="AG69" s="395">
        <f t="shared" ca="1" si="22"/>
        <v>0</v>
      </c>
      <c r="AH69" s="395">
        <f t="shared" ca="1" si="23"/>
        <v>0</v>
      </c>
      <c r="AI69" s="395">
        <f t="shared" ca="1" si="24"/>
        <v>0</v>
      </c>
      <c r="AJ69" s="395">
        <f t="shared" ca="1" si="25"/>
        <v>0</v>
      </c>
      <c r="AK69" s="395">
        <f t="shared" ca="1" si="26"/>
        <v>0</v>
      </c>
      <c r="AL69" s="395">
        <f t="shared" ca="1" si="27"/>
        <v>0</v>
      </c>
      <c r="AM69" s="395">
        <f t="shared" ca="1" si="28"/>
        <v>0</v>
      </c>
      <c r="AN69" s="395">
        <f t="shared" ca="1" si="29"/>
        <v>0</v>
      </c>
      <c r="AO69" s="395">
        <f t="shared" ca="1" si="30"/>
        <v>0</v>
      </c>
      <c r="AP69" s="395">
        <f t="shared" ca="1" si="31"/>
        <v>0</v>
      </c>
      <c r="AQ69" s="395">
        <f t="shared" ca="1" si="32"/>
        <v>0</v>
      </c>
      <c r="AR69" s="395">
        <f t="shared" ca="1" si="33"/>
        <v>0</v>
      </c>
      <c r="AS69" s="395">
        <f t="shared" ca="1" si="34"/>
        <v>0</v>
      </c>
      <c r="AT69" s="395">
        <f t="shared" ca="1" si="35"/>
        <v>0</v>
      </c>
      <c r="AU69" s="395">
        <f t="shared" ca="1" si="36"/>
        <v>0</v>
      </c>
      <c r="AV69" s="395">
        <f t="shared" ca="1" si="37"/>
        <v>0</v>
      </c>
      <c r="AW69" s="395">
        <f t="shared" ca="1" si="38"/>
        <v>0</v>
      </c>
    </row>
    <row r="70" spans="1:49" s="392" customFormat="1" ht="12" customHeight="1">
      <c r="A70" s="63">
        <f t="array" aca="1" ref="A70" ca="1">IF(C70&lt;&gt;0,SUM(($C$11:C70&lt;&gt;0)*1),"")</f>
        <v>60</v>
      </c>
      <c r="B70" s="393">
        <f ca="1">IF(ROWS($1:60)&gt;COUNT(Dong9),"",OFFSET(TH!C$1,SMALL(Dong9,ROWS($1:60)),))</f>
        <v>42004</v>
      </c>
      <c r="C70" s="393" t="str">
        <f ca="1">IF(ROWS($1:60)&gt;COUNT(Dong9),"",OFFSET(TH!D$1,SMALL(Dong9,ROWS($1:60)),))</f>
        <v>GBN</v>
      </c>
      <c r="D70" s="393">
        <f ca="1">IF(ROWS($1:60)&gt;COUNT(Dong9),"",OFFSET(TH!E$1,SMALL(Dong9,ROWS($1:60)),))</f>
        <v>42004</v>
      </c>
      <c r="E70" s="443" t="str">
        <f ca="1">IF(ROWS($1:60)&gt;COUNT(Dong9),"",OFFSET(TH!F$1,SMALL(Dong9,ROWS($1:60)),))</f>
        <v xml:space="preserve">Phí chuyển tiền </v>
      </c>
      <c r="F70" s="444">
        <f ca="1">IF(ROWS($1:60)&gt;COUNT(Dong9),"",OFFSET(TH!I$1,SMALL(Dong9,ROWS($1:60)),))</f>
        <v>500000</v>
      </c>
      <c r="G70" s="456" t="str">
        <f ca="1">IF(ROWS($1:60)&gt;COUNT(Dong9),"",OFFSET(TH!J$1,SMALL(Dong9,ROWS($1:60)),))</f>
        <v>642</v>
      </c>
      <c r="H70" s="456" t="str">
        <f ca="1">IF(ROWS($1:60)&gt;COUNT(Dong9),"",OFFSET(TH!K$1,SMALL(Dong9,ROWS($1:60)),))</f>
        <v>1121</v>
      </c>
      <c r="I70" s="63">
        <f t="shared" ca="1" si="0"/>
        <v>60</v>
      </c>
      <c r="J70" s="395">
        <f t="shared" ca="1" si="1"/>
        <v>0</v>
      </c>
      <c r="K70" s="395">
        <f t="shared" ca="1" si="2"/>
        <v>0</v>
      </c>
      <c r="L70" s="395">
        <f t="shared" ca="1" si="3"/>
        <v>0</v>
      </c>
      <c r="M70" s="395">
        <f t="shared" ca="1" si="4"/>
        <v>500000</v>
      </c>
      <c r="N70" s="395">
        <f t="shared" ca="1" si="5"/>
        <v>0</v>
      </c>
      <c r="O70" s="395">
        <f t="shared" ca="1" si="6"/>
        <v>0</v>
      </c>
      <c r="P70" s="395">
        <f t="shared" ca="1" si="7"/>
        <v>0</v>
      </c>
      <c r="Q70" s="395">
        <f t="shared" ca="1" si="8"/>
        <v>0</v>
      </c>
      <c r="R70" s="395">
        <f t="shared" ca="1" si="39"/>
        <v>0</v>
      </c>
      <c r="S70" s="395">
        <f t="shared" ca="1" si="40"/>
        <v>0</v>
      </c>
      <c r="T70" s="395">
        <f t="shared" ca="1" si="9"/>
        <v>0</v>
      </c>
      <c r="U70" s="395">
        <f t="shared" ca="1" si="10"/>
        <v>0</v>
      </c>
      <c r="V70" s="395">
        <f t="shared" ca="1" si="11"/>
        <v>0</v>
      </c>
      <c r="W70" s="395">
        <f t="shared" ca="1" si="12"/>
        <v>0</v>
      </c>
      <c r="X70" s="395">
        <f t="shared" ca="1" si="13"/>
        <v>0</v>
      </c>
      <c r="Y70" s="395">
        <f t="shared" ca="1" si="14"/>
        <v>0</v>
      </c>
      <c r="Z70" s="395">
        <f t="shared" ca="1" si="15"/>
        <v>0</v>
      </c>
      <c r="AA70" s="395">
        <f t="shared" ca="1" si="16"/>
        <v>0</v>
      </c>
      <c r="AB70" s="395">
        <f t="shared" ca="1" si="17"/>
        <v>0</v>
      </c>
      <c r="AC70" s="395">
        <f t="shared" ca="1" si="18"/>
        <v>0</v>
      </c>
      <c r="AD70" s="395">
        <f t="shared" ca="1" si="19"/>
        <v>0</v>
      </c>
      <c r="AE70" s="395">
        <f t="shared" ca="1" si="20"/>
        <v>0</v>
      </c>
      <c r="AF70" s="395">
        <f t="shared" ca="1" si="21"/>
        <v>0</v>
      </c>
      <c r="AG70" s="395">
        <f t="shared" ca="1" si="22"/>
        <v>0</v>
      </c>
      <c r="AH70" s="395">
        <f t="shared" ca="1" si="23"/>
        <v>0</v>
      </c>
      <c r="AI70" s="395">
        <f t="shared" ca="1" si="24"/>
        <v>0</v>
      </c>
      <c r="AJ70" s="395">
        <f t="shared" ca="1" si="25"/>
        <v>0</v>
      </c>
      <c r="AK70" s="395">
        <f t="shared" ca="1" si="26"/>
        <v>0</v>
      </c>
      <c r="AL70" s="395">
        <f t="shared" ca="1" si="27"/>
        <v>0</v>
      </c>
      <c r="AM70" s="395">
        <f t="shared" ca="1" si="28"/>
        <v>0</v>
      </c>
      <c r="AN70" s="395">
        <f t="shared" ca="1" si="29"/>
        <v>500000</v>
      </c>
      <c r="AO70" s="395">
        <f t="shared" ca="1" si="30"/>
        <v>0</v>
      </c>
      <c r="AP70" s="395">
        <f t="shared" ca="1" si="31"/>
        <v>0</v>
      </c>
      <c r="AQ70" s="395">
        <f t="shared" ca="1" si="32"/>
        <v>0</v>
      </c>
      <c r="AR70" s="395">
        <f t="shared" ca="1" si="33"/>
        <v>0</v>
      </c>
      <c r="AS70" s="395">
        <f t="shared" ca="1" si="34"/>
        <v>0</v>
      </c>
      <c r="AT70" s="395">
        <f t="shared" ca="1" si="35"/>
        <v>0</v>
      </c>
      <c r="AU70" s="395">
        <f t="shared" ca="1" si="36"/>
        <v>0</v>
      </c>
      <c r="AV70" s="395">
        <f t="shared" ca="1" si="37"/>
        <v>0</v>
      </c>
      <c r="AW70" s="395">
        <f t="shared" ca="1" si="38"/>
        <v>0</v>
      </c>
    </row>
    <row r="71" spans="1:49" s="392" customFormat="1" ht="12" customHeight="1">
      <c r="A71" s="63">
        <f t="array" aca="1" ref="A71" ca="1">IF(C71&lt;&gt;0,SUM(($C$11:C71&lt;&gt;0)*1),"")</f>
        <v>61</v>
      </c>
      <c r="B71" s="393">
        <f ca="1">IF(ROWS($1:61)&gt;COUNT(Dong9),"",OFFSET(TH!C$1,SMALL(Dong9,ROWS($1:61)),))</f>
        <v>42004</v>
      </c>
      <c r="C71" s="393" t="str">
        <f ca="1">IF(ROWS($1:61)&gt;COUNT(Dong9),"",OFFSET(TH!D$1,SMALL(Dong9,ROWS($1:61)),))</f>
        <v>GBN</v>
      </c>
      <c r="D71" s="393">
        <f ca="1">IF(ROWS($1:61)&gt;COUNT(Dong9),"",OFFSET(TH!E$1,SMALL(Dong9,ROWS($1:61)),))</f>
        <v>42004</v>
      </c>
      <c r="E71" s="443" t="str">
        <f ca="1">IF(ROWS($1:61)&gt;COUNT(Dong9),"",OFFSET(TH!F$1,SMALL(Dong9,ROWS($1:61)),))</f>
        <v xml:space="preserve">VAT Phí chuyển tiền </v>
      </c>
      <c r="F71" s="444">
        <f ca="1">IF(ROWS($1:61)&gt;COUNT(Dong9),"",OFFSET(TH!I$1,SMALL(Dong9,ROWS($1:61)),))</f>
        <v>50000</v>
      </c>
      <c r="G71" s="456" t="str">
        <f ca="1">IF(ROWS($1:61)&gt;COUNT(Dong9),"",OFFSET(TH!J$1,SMALL(Dong9,ROWS($1:61)),))</f>
        <v>1331</v>
      </c>
      <c r="H71" s="456" t="str">
        <f ca="1">IF(ROWS($1:61)&gt;COUNT(Dong9),"",OFFSET(TH!K$1,SMALL(Dong9,ROWS($1:61)),))</f>
        <v>1121</v>
      </c>
      <c r="I71" s="63">
        <f t="shared" ca="1" si="0"/>
        <v>61</v>
      </c>
      <c r="J71" s="395">
        <f t="shared" ca="1" si="1"/>
        <v>0</v>
      </c>
      <c r="K71" s="395">
        <f t="shared" ca="1" si="2"/>
        <v>0</v>
      </c>
      <c r="L71" s="395">
        <f t="shared" ca="1" si="3"/>
        <v>0</v>
      </c>
      <c r="M71" s="395">
        <f t="shared" ca="1" si="4"/>
        <v>50000</v>
      </c>
      <c r="N71" s="395">
        <f t="shared" ca="1" si="5"/>
        <v>50000</v>
      </c>
      <c r="O71" s="395">
        <f t="shared" ca="1" si="6"/>
        <v>0</v>
      </c>
      <c r="P71" s="395">
        <f t="shared" ca="1" si="7"/>
        <v>0</v>
      </c>
      <c r="Q71" s="395">
        <f t="shared" ca="1" si="8"/>
        <v>0</v>
      </c>
      <c r="R71" s="395">
        <f t="shared" ca="1" si="39"/>
        <v>0</v>
      </c>
      <c r="S71" s="395">
        <f t="shared" ca="1" si="40"/>
        <v>0</v>
      </c>
      <c r="T71" s="395">
        <f t="shared" ca="1" si="9"/>
        <v>0</v>
      </c>
      <c r="U71" s="395">
        <f t="shared" ca="1" si="10"/>
        <v>0</v>
      </c>
      <c r="V71" s="395">
        <f t="shared" ca="1" si="11"/>
        <v>0</v>
      </c>
      <c r="W71" s="395">
        <f t="shared" ca="1" si="12"/>
        <v>0</v>
      </c>
      <c r="X71" s="395">
        <f t="shared" ca="1" si="13"/>
        <v>0</v>
      </c>
      <c r="Y71" s="395">
        <f t="shared" ca="1" si="14"/>
        <v>0</v>
      </c>
      <c r="Z71" s="395">
        <f t="shared" ca="1" si="15"/>
        <v>0</v>
      </c>
      <c r="AA71" s="395">
        <f t="shared" ca="1" si="16"/>
        <v>0</v>
      </c>
      <c r="AB71" s="395">
        <f t="shared" ca="1" si="17"/>
        <v>0</v>
      </c>
      <c r="AC71" s="395">
        <f t="shared" ca="1" si="18"/>
        <v>0</v>
      </c>
      <c r="AD71" s="395">
        <f t="shared" ca="1" si="19"/>
        <v>0</v>
      </c>
      <c r="AE71" s="395">
        <f t="shared" ca="1" si="20"/>
        <v>0</v>
      </c>
      <c r="AF71" s="395">
        <f t="shared" ca="1" si="21"/>
        <v>0</v>
      </c>
      <c r="AG71" s="395">
        <f t="shared" ca="1" si="22"/>
        <v>0</v>
      </c>
      <c r="AH71" s="395">
        <f t="shared" ca="1" si="23"/>
        <v>0</v>
      </c>
      <c r="AI71" s="395">
        <f t="shared" ca="1" si="24"/>
        <v>0</v>
      </c>
      <c r="AJ71" s="395">
        <f t="shared" ca="1" si="25"/>
        <v>0</v>
      </c>
      <c r="AK71" s="395">
        <f t="shared" ca="1" si="26"/>
        <v>0</v>
      </c>
      <c r="AL71" s="395">
        <f t="shared" ca="1" si="27"/>
        <v>0</v>
      </c>
      <c r="AM71" s="395">
        <f t="shared" ca="1" si="28"/>
        <v>0</v>
      </c>
      <c r="AN71" s="395">
        <f t="shared" ca="1" si="29"/>
        <v>0</v>
      </c>
      <c r="AO71" s="395">
        <f t="shared" ca="1" si="30"/>
        <v>0</v>
      </c>
      <c r="AP71" s="395">
        <f t="shared" ca="1" si="31"/>
        <v>0</v>
      </c>
      <c r="AQ71" s="395">
        <f t="shared" ca="1" si="32"/>
        <v>0</v>
      </c>
      <c r="AR71" s="395">
        <f t="shared" ca="1" si="33"/>
        <v>0</v>
      </c>
      <c r="AS71" s="395">
        <f t="shared" ca="1" si="34"/>
        <v>0</v>
      </c>
      <c r="AT71" s="395">
        <f t="shared" ca="1" si="35"/>
        <v>0</v>
      </c>
      <c r="AU71" s="395">
        <f t="shared" ca="1" si="36"/>
        <v>0</v>
      </c>
      <c r="AV71" s="395">
        <f t="shared" ca="1" si="37"/>
        <v>0</v>
      </c>
      <c r="AW71" s="395">
        <f t="shared" ca="1" si="38"/>
        <v>0</v>
      </c>
    </row>
    <row r="72" spans="1:49" s="430" customFormat="1" ht="12" customHeight="1">
      <c r="A72" s="63">
        <f t="array" aca="1" ref="A72" ca="1">IF(C72&lt;&gt;0,SUM(($C$11:C72&lt;&gt;0)*1),"")</f>
        <v>62</v>
      </c>
      <c r="B72" s="396">
        <v>42004</v>
      </c>
      <c r="C72" s="396" t="s">
        <v>154</v>
      </c>
      <c r="D72" s="396">
        <f t="shared" ref="D72:D77" si="41">B72</f>
        <v>42004</v>
      </c>
      <c r="E72" s="397" t="s">
        <v>155</v>
      </c>
      <c r="F72" s="89">
        <f ca="1">AL79</f>
        <v>99426828</v>
      </c>
      <c r="G72" s="398" t="s">
        <v>214</v>
      </c>
      <c r="H72" s="398" t="s">
        <v>138</v>
      </c>
      <c r="I72" s="63">
        <f t="shared" ref="I72:I77" ca="1" si="42">A72</f>
        <v>62</v>
      </c>
      <c r="J72" s="395">
        <f t="shared" ref="J72:J78" si="43">IF($G72="1111",$F72,0)</f>
        <v>0</v>
      </c>
      <c r="K72" s="395">
        <f t="shared" ref="K72:K78" si="44">IF($H72="1111",$F72,0)</f>
        <v>0</v>
      </c>
      <c r="L72" s="395">
        <f t="shared" ref="L72:L78" si="45">IF($G72="1121",$F72,0)</f>
        <v>0</v>
      </c>
      <c r="M72" s="395">
        <f t="shared" ref="M72:M78" si="46">IF($H72="1121",$F72,0)</f>
        <v>0</v>
      </c>
      <c r="N72" s="395">
        <f t="shared" ref="N72:N78" si="47">IF($G72="1331",$F72,0)</f>
        <v>0</v>
      </c>
      <c r="O72" s="395">
        <f t="shared" ref="O72:O78" si="48">IF($H72="1331",$F72,0)</f>
        <v>0</v>
      </c>
      <c r="P72" s="395">
        <f t="shared" ref="P72:P78" si="49">IF($G72="1388",$F72,0)</f>
        <v>0</v>
      </c>
      <c r="Q72" s="395">
        <f t="shared" ref="Q72:Q78" si="50">IF($H72="1388",$F72,0)</f>
        <v>0</v>
      </c>
      <c r="R72" s="395">
        <f t="shared" ref="R72:R78" ca="1" si="51">IF($G72="2412",$F72,0)</f>
        <v>99426828</v>
      </c>
      <c r="S72" s="395">
        <f t="shared" ref="S72:S78" si="52">IF($H72="2412",$F72,0)</f>
        <v>0</v>
      </c>
      <c r="T72" s="395">
        <f t="shared" ref="T72:T78" si="53">IF($G72="331",$F72,0)</f>
        <v>0</v>
      </c>
      <c r="U72" s="395">
        <f t="shared" ref="U72:U78" si="54">IF($H72="331",$F72,0)</f>
        <v>0</v>
      </c>
      <c r="V72" s="395">
        <f t="shared" ref="V72:V78" si="55">IF($G72="3334",$F72,0)</f>
        <v>0</v>
      </c>
      <c r="W72" s="395">
        <f t="shared" ref="W72:W78" si="56">IF($H72="3334",$F72,0)</f>
        <v>0</v>
      </c>
      <c r="X72" s="395">
        <f t="shared" ref="X72:X78" si="57">IF($G72="33382",$F72,0)</f>
        <v>0</v>
      </c>
      <c r="Y72" s="395">
        <f t="shared" ref="Y72:Y78" si="58">IF($H72="33382",$F72,0)</f>
        <v>0</v>
      </c>
      <c r="Z72" s="395">
        <f t="shared" ref="Z72:Z78" si="59">IF($G72="3388",$F72,0)</f>
        <v>0</v>
      </c>
      <c r="AA72" s="395">
        <f t="shared" ref="AA72:AA78" si="60">IF($H72="3388",$F72,0)</f>
        <v>0</v>
      </c>
      <c r="AB72" s="395">
        <f t="shared" ref="AB72:AB78" si="61">IF($G72="3411",$F72,0)</f>
        <v>0</v>
      </c>
      <c r="AC72" s="395">
        <f t="shared" ref="AC72:AC78" si="62">IF($H72="3411",$F72,0)</f>
        <v>0</v>
      </c>
      <c r="AD72" s="395">
        <f t="shared" ref="AD72:AD78" si="63">IF($G72="4111",$F72,0)</f>
        <v>0</v>
      </c>
      <c r="AE72" s="395">
        <f t="shared" ref="AE72:AE78" si="64">IF($H72="4111",$F72,0)</f>
        <v>0</v>
      </c>
      <c r="AF72" s="395">
        <f t="shared" ref="AF72:AF78" si="65">IF($G72="4211",$F72,0)</f>
        <v>0</v>
      </c>
      <c r="AG72" s="395">
        <f t="shared" ref="AG72:AG78" si="66">IF($H72="4211",$F72,0)</f>
        <v>0</v>
      </c>
      <c r="AH72" s="395">
        <f t="shared" ref="AH72:AH78" si="67">IF($G72="4212",$F72,0)</f>
        <v>0</v>
      </c>
      <c r="AI72" s="395">
        <f t="shared" ref="AI72:AI78" si="68">IF($H72="4212",$F72,0)</f>
        <v>0</v>
      </c>
      <c r="AJ72" s="395">
        <f t="shared" ref="AJ72:AJ78" si="69">IF($G72="515",$F72,0)</f>
        <v>0</v>
      </c>
      <c r="AK72" s="395">
        <f t="shared" ref="AK72:AK78" si="70">IF($H72="515",$F72,0)</f>
        <v>0</v>
      </c>
      <c r="AL72" s="395">
        <f t="shared" ref="AL72:AL78" si="71">IF($G72="635",$F72,0)</f>
        <v>0</v>
      </c>
      <c r="AM72" s="395">
        <f t="shared" ref="AM72:AM78" ca="1" si="72">IF($H72="635",$F72,0)</f>
        <v>99426828</v>
      </c>
      <c r="AN72" s="395">
        <f t="shared" ref="AN72:AN78" si="73">IF($G72="642",$F72,0)</f>
        <v>0</v>
      </c>
      <c r="AO72" s="395">
        <f t="shared" ref="AO72:AO78" si="74">IF($H72="642",$F72,0)</f>
        <v>0</v>
      </c>
      <c r="AP72" s="395">
        <f t="shared" ref="AP72:AP78" si="75">IF($G72="711",$F72,0)</f>
        <v>0</v>
      </c>
      <c r="AQ72" s="395">
        <f t="shared" ref="AQ72:AQ78" si="76">IF($H72="711",$F72,0)</f>
        <v>0</v>
      </c>
      <c r="AR72" s="395">
        <f t="shared" ref="AR72:AR78" si="77">IF($G72="811",$F72,0)</f>
        <v>0</v>
      </c>
      <c r="AS72" s="395">
        <f t="shared" ref="AS72:AS78" si="78">IF($H72="811",$F72,0)</f>
        <v>0</v>
      </c>
      <c r="AT72" s="395">
        <f t="shared" ref="AT72:AT78" si="79">IF($G72="821",$F72,0)</f>
        <v>0</v>
      </c>
      <c r="AU72" s="395">
        <f t="shared" ref="AU72:AU78" si="80">IF($H72="821",$F72,0)</f>
        <v>0</v>
      </c>
      <c r="AV72" s="395">
        <f t="shared" ref="AV72:AV78" si="81">IF($G72="911",$F72,0)</f>
        <v>0</v>
      </c>
      <c r="AW72" s="395">
        <f t="shared" ref="AW72:AW78" si="82">IF($H72="911",$F72,0)</f>
        <v>0</v>
      </c>
    </row>
    <row r="73" spans="1:49" s="430" customFormat="1" ht="12" customHeight="1">
      <c r="A73" s="63">
        <f t="array" aca="1" ref="A73" ca="1">IF(C73&lt;&gt;0,SUM(($C$11:C73&lt;&gt;0)*1),"")</f>
        <v>63</v>
      </c>
      <c r="B73" s="396">
        <v>42004</v>
      </c>
      <c r="C73" s="396" t="s">
        <v>154</v>
      </c>
      <c r="D73" s="396">
        <f t="shared" si="41"/>
        <v>42004</v>
      </c>
      <c r="E73" s="397" t="s">
        <v>156</v>
      </c>
      <c r="F73" s="89">
        <f ca="1">AN79</f>
        <v>35687147</v>
      </c>
      <c r="G73" s="398" t="s">
        <v>148</v>
      </c>
      <c r="H73" s="398" t="s">
        <v>140</v>
      </c>
      <c r="I73" s="63">
        <f t="shared" ca="1" si="42"/>
        <v>63</v>
      </c>
      <c r="J73" s="395">
        <f t="shared" si="43"/>
        <v>0</v>
      </c>
      <c r="K73" s="395">
        <f t="shared" si="44"/>
        <v>0</v>
      </c>
      <c r="L73" s="395">
        <f t="shared" si="45"/>
        <v>0</v>
      </c>
      <c r="M73" s="395">
        <f t="shared" si="46"/>
        <v>0</v>
      </c>
      <c r="N73" s="395">
        <f t="shared" si="47"/>
        <v>0</v>
      </c>
      <c r="O73" s="395">
        <f t="shared" si="48"/>
        <v>0</v>
      </c>
      <c r="P73" s="395">
        <f t="shared" si="49"/>
        <v>0</v>
      </c>
      <c r="Q73" s="395">
        <f t="shared" si="50"/>
        <v>0</v>
      </c>
      <c r="R73" s="395">
        <f t="shared" si="51"/>
        <v>0</v>
      </c>
      <c r="S73" s="395">
        <f t="shared" si="52"/>
        <v>0</v>
      </c>
      <c r="T73" s="395">
        <f t="shared" si="53"/>
        <v>0</v>
      </c>
      <c r="U73" s="395">
        <f t="shared" si="54"/>
        <v>0</v>
      </c>
      <c r="V73" s="395">
        <f t="shared" si="55"/>
        <v>0</v>
      </c>
      <c r="W73" s="395">
        <f t="shared" si="56"/>
        <v>0</v>
      </c>
      <c r="X73" s="395">
        <f t="shared" si="57"/>
        <v>0</v>
      </c>
      <c r="Y73" s="395">
        <f t="shared" si="58"/>
        <v>0</v>
      </c>
      <c r="Z73" s="395">
        <f t="shared" si="59"/>
        <v>0</v>
      </c>
      <c r="AA73" s="395">
        <f t="shared" si="60"/>
        <v>0</v>
      </c>
      <c r="AB73" s="395">
        <f t="shared" si="61"/>
        <v>0</v>
      </c>
      <c r="AC73" s="395">
        <f t="shared" si="62"/>
        <v>0</v>
      </c>
      <c r="AD73" s="395">
        <f t="shared" si="63"/>
        <v>0</v>
      </c>
      <c r="AE73" s="395">
        <f t="shared" si="64"/>
        <v>0</v>
      </c>
      <c r="AF73" s="395">
        <f t="shared" si="65"/>
        <v>0</v>
      </c>
      <c r="AG73" s="395">
        <f t="shared" si="66"/>
        <v>0</v>
      </c>
      <c r="AH73" s="395">
        <f t="shared" si="67"/>
        <v>0</v>
      </c>
      <c r="AI73" s="395">
        <f t="shared" si="68"/>
        <v>0</v>
      </c>
      <c r="AJ73" s="395">
        <f t="shared" si="69"/>
        <v>0</v>
      </c>
      <c r="AK73" s="395">
        <f t="shared" si="70"/>
        <v>0</v>
      </c>
      <c r="AL73" s="395">
        <f t="shared" si="71"/>
        <v>0</v>
      </c>
      <c r="AM73" s="395">
        <f t="shared" si="72"/>
        <v>0</v>
      </c>
      <c r="AN73" s="395">
        <f t="shared" si="73"/>
        <v>0</v>
      </c>
      <c r="AO73" s="395">
        <f t="shared" ca="1" si="74"/>
        <v>35687147</v>
      </c>
      <c r="AP73" s="395">
        <f t="shared" si="75"/>
        <v>0</v>
      </c>
      <c r="AQ73" s="395">
        <f t="shared" si="76"/>
        <v>0</v>
      </c>
      <c r="AR73" s="395">
        <f t="shared" si="77"/>
        <v>0</v>
      </c>
      <c r="AS73" s="395">
        <f t="shared" si="78"/>
        <v>0</v>
      </c>
      <c r="AT73" s="395">
        <f t="shared" si="79"/>
        <v>0</v>
      </c>
      <c r="AU73" s="395">
        <f t="shared" si="80"/>
        <v>0</v>
      </c>
      <c r="AV73" s="395">
        <f t="shared" ca="1" si="81"/>
        <v>35687147</v>
      </c>
      <c r="AW73" s="395">
        <f t="shared" si="82"/>
        <v>0</v>
      </c>
    </row>
    <row r="74" spans="1:49" s="430" customFormat="1" ht="12" customHeight="1">
      <c r="A74" s="63">
        <f t="array" aca="1" ref="A74" ca="1">IF(C74&lt;&gt;0,SUM(($C$11:C74&lt;&gt;0)*1),"")</f>
        <v>64</v>
      </c>
      <c r="B74" s="396">
        <v>42004</v>
      </c>
      <c r="C74" s="396" t="s">
        <v>154</v>
      </c>
      <c r="D74" s="396">
        <f t="shared" si="41"/>
        <v>42004</v>
      </c>
      <c r="E74" s="397" t="s">
        <v>291</v>
      </c>
      <c r="F74" s="89">
        <v>35178553</v>
      </c>
      <c r="G74" s="398" t="s">
        <v>133</v>
      </c>
      <c r="H74" s="398" t="s">
        <v>148</v>
      </c>
      <c r="I74" s="63">
        <f t="shared" ca="1" si="42"/>
        <v>64</v>
      </c>
      <c r="J74" s="395">
        <f t="shared" si="43"/>
        <v>0</v>
      </c>
      <c r="K74" s="395">
        <f t="shared" si="44"/>
        <v>0</v>
      </c>
      <c r="L74" s="395">
        <f t="shared" si="45"/>
        <v>0</v>
      </c>
      <c r="M74" s="395">
        <f t="shared" si="46"/>
        <v>0</v>
      </c>
      <c r="N74" s="395">
        <f t="shared" si="47"/>
        <v>0</v>
      </c>
      <c r="O74" s="395">
        <f t="shared" si="48"/>
        <v>0</v>
      </c>
      <c r="P74" s="395">
        <f t="shared" si="49"/>
        <v>0</v>
      </c>
      <c r="Q74" s="395">
        <f t="shared" si="50"/>
        <v>0</v>
      </c>
      <c r="R74" s="395">
        <f t="shared" si="51"/>
        <v>0</v>
      </c>
      <c r="S74" s="395">
        <f t="shared" si="52"/>
        <v>0</v>
      </c>
      <c r="T74" s="395">
        <f t="shared" si="53"/>
        <v>0</v>
      </c>
      <c r="U74" s="395">
        <f t="shared" si="54"/>
        <v>0</v>
      </c>
      <c r="V74" s="395">
        <f t="shared" si="55"/>
        <v>0</v>
      </c>
      <c r="W74" s="395">
        <f t="shared" si="56"/>
        <v>0</v>
      </c>
      <c r="X74" s="395">
        <f t="shared" si="57"/>
        <v>0</v>
      </c>
      <c r="Y74" s="395">
        <f t="shared" si="58"/>
        <v>0</v>
      </c>
      <c r="Z74" s="395">
        <f t="shared" si="59"/>
        <v>0</v>
      </c>
      <c r="AA74" s="395">
        <f t="shared" si="60"/>
        <v>0</v>
      </c>
      <c r="AB74" s="395">
        <f t="shared" si="61"/>
        <v>0</v>
      </c>
      <c r="AC74" s="395">
        <f t="shared" si="62"/>
        <v>0</v>
      </c>
      <c r="AD74" s="395">
        <f t="shared" si="63"/>
        <v>0</v>
      </c>
      <c r="AE74" s="395">
        <f t="shared" si="64"/>
        <v>0</v>
      </c>
      <c r="AF74" s="395">
        <f t="shared" si="65"/>
        <v>0</v>
      </c>
      <c r="AG74" s="395">
        <f t="shared" si="66"/>
        <v>0</v>
      </c>
      <c r="AH74" s="395">
        <f t="shared" si="67"/>
        <v>35178553</v>
      </c>
      <c r="AI74" s="395">
        <f t="shared" si="68"/>
        <v>0</v>
      </c>
      <c r="AJ74" s="395">
        <f t="shared" si="69"/>
        <v>0</v>
      </c>
      <c r="AK74" s="395">
        <f t="shared" si="70"/>
        <v>0</v>
      </c>
      <c r="AL74" s="395">
        <f t="shared" si="71"/>
        <v>0</v>
      </c>
      <c r="AM74" s="395">
        <f t="shared" si="72"/>
        <v>0</v>
      </c>
      <c r="AN74" s="395">
        <f t="shared" si="73"/>
        <v>0</v>
      </c>
      <c r="AO74" s="395">
        <f t="shared" si="74"/>
        <v>0</v>
      </c>
      <c r="AP74" s="395">
        <f t="shared" si="75"/>
        <v>0</v>
      </c>
      <c r="AQ74" s="395">
        <f t="shared" si="76"/>
        <v>0</v>
      </c>
      <c r="AR74" s="395">
        <f t="shared" si="77"/>
        <v>0</v>
      </c>
      <c r="AS74" s="395">
        <f t="shared" si="78"/>
        <v>0</v>
      </c>
      <c r="AT74" s="395">
        <f t="shared" si="79"/>
        <v>0</v>
      </c>
      <c r="AU74" s="395">
        <f t="shared" si="80"/>
        <v>0</v>
      </c>
      <c r="AV74" s="395">
        <f t="shared" si="81"/>
        <v>0</v>
      </c>
      <c r="AW74" s="395">
        <f t="shared" si="82"/>
        <v>35178553</v>
      </c>
    </row>
    <row r="75" spans="1:49" s="430" customFormat="1" ht="12" customHeight="1">
      <c r="A75" s="63">
        <f t="array" aca="1" ref="A75" ca="1">IF(C75&lt;&gt;0,SUM(($C$11:C75&lt;&gt;0)*1),"")</f>
        <v>65</v>
      </c>
      <c r="B75" s="396">
        <v>42004</v>
      </c>
      <c r="C75" s="396" t="s">
        <v>154</v>
      </c>
      <c r="D75" s="396">
        <f t="shared" si="41"/>
        <v>42004</v>
      </c>
      <c r="E75" s="397" t="s">
        <v>158</v>
      </c>
      <c r="F75" s="89">
        <f ca="1">AK79</f>
        <v>508594</v>
      </c>
      <c r="G75" s="398" t="s">
        <v>67</v>
      </c>
      <c r="H75" s="398" t="s">
        <v>148</v>
      </c>
      <c r="I75" s="63">
        <f t="shared" ca="1" si="42"/>
        <v>65</v>
      </c>
      <c r="J75" s="395">
        <f t="shared" si="43"/>
        <v>0</v>
      </c>
      <c r="K75" s="395">
        <f t="shared" si="44"/>
        <v>0</v>
      </c>
      <c r="L75" s="395">
        <f t="shared" si="45"/>
        <v>0</v>
      </c>
      <c r="M75" s="395">
        <f t="shared" si="46"/>
        <v>0</v>
      </c>
      <c r="N75" s="395">
        <f t="shared" si="47"/>
        <v>0</v>
      </c>
      <c r="O75" s="395">
        <f t="shared" si="48"/>
        <v>0</v>
      </c>
      <c r="P75" s="395">
        <f t="shared" si="49"/>
        <v>0</v>
      </c>
      <c r="Q75" s="395">
        <f t="shared" si="50"/>
        <v>0</v>
      </c>
      <c r="R75" s="395">
        <f t="shared" si="51"/>
        <v>0</v>
      </c>
      <c r="S75" s="395">
        <f t="shared" si="52"/>
        <v>0</v>
      </c>
      <c r="T75" s="395">
        <f t="shared" si="53"/>
        <v>0</v>
      </c>
      <c r="U75" s="395">
        <f t="shared" si="54"/>
        <v>0</v>
      </c>
      <c r="V75" s="395">
        <f t="shared" si="55"/>
        <v>0</v>
      </c>
      <c r="W75" s="395">
        <f t="shared" si="56"/>
        <v>0</v>
      </c>
      <c r="X75" s="395">
        <f t="shared" si="57"/>
        <v>0</v>
      </c>
      <c r="Y75" s="395">
        <f t="shared" si="58"/>
        <v>0</v>
      </c>
      <c r="Z75" s="395">
        <f t="shared" si="59"/>
        <v>0</v>
      </c>
      <c r="AA75" s="395">
        <f t="shared" si="60"/>
        <v>0</v>
      </c>
      <c r="AB75" s="395">
        <f t="shared" si="61"/>
        <v>0</v>
      </c>
      <c r="AC75" s="395">
        <f t="shared" si="62"/>
        <v>0</v>
      </c>
      <c r="AD75" s="395">
        <f t="shared" si="63"/>
        <v>0</v>
      </c>
      <c r="AE75" s="395">
        <f t="shared" si="64"/>
        <v>0</v>
      </c>
      <c r="AF75" s="395">
        <f t="shared" si="65"/>
        <v>0</v>
      </c>
      <c r="AG75" s="395">
        <f t="shared" si="66"/>
        <v>0</v>
      </c>
      <c r="AH75" s="395">
        <f t="shared" si="67"/>
        <v>0</v>
      </c>
      <c r="AI75" s="395">
        <f t="shared" si="68"/>
        <v>0</v>
      </c>
      <c r="AJ75" s="395">
        <f t="shared" ca="1" si="69"/>
        <v>508594</v>
      </c>
      <c r="AK75" s="395">
        <f t="shared" si="70"/>
        <v>0</v>
      </c>
      <c r="AL75" s="395">
        <f t="shared" si="71"/>
        <v>0</v>
      </c>
      <c r="AM75" s="395">
        <f t="shared" si="72"/>
        <v>0</v>
      </c>
      <c r="AN75" s="395">
        <f t="shared" si="73"/>
        <v>0</v>
      </c>
      <c r="AO75" s="395">
        <f t="shared" si="74"/>
        <v>0</v>
      </c>
      <c r="AP75" s="395">
        <f t="shared" si="75"/>
        <v>0</v>
      </c>
      <c r="AQ75" s="395">
        <f t="shared" si="76"/>
        <v>0</v>
      </c>
      <c r="AR75" s="395">
        <f t="shared" si="77"/>
        <v>0</v>
      </c>
      <c r="AS75" s="395">
        <f t="shared" si="78"/>
        <v>0</v>
      </c>
      <c r="AT75" s="395">
        <f t="shared" si="79"/>
        <v>0</v>
      </c>
      <c r="AU75" s="395">
        <f t="shared" si="80"/>
        <v>0</v>
      </c>
      <c r="AV75" s="395">
        <f t="shared" si="81"/>
        <v>0</v>
      </c>
      <c r="AW75" s="395">
        <f t="shared" ca="1" si="82"/>
        <v>508594</v>
      </c>
    </row>
    <row r="76" spans="1:49" s="430" customFormat="1" ht="12" customHeight="1">
      <c r="A76" s="63">
        <f t="array" aca="1" ref="A76" ca="1">IF(C76&lt;&gt;0,SUM(($C$11:C76&lt;&gt;0)*1),"")</f>
        <v>66</v>
      </c>
      <c r="B76" s="396">
        <v>42004</v>
      </c>
      <c r="C76" s="396" t="s">
        <v>154</v>
      </c>
      <c r="D76" s="396">
        <f t="shared" si="41"/>
        <v>42004</v>
      </c>
      <c r="E76" s="397" t="s">
        <v>159</v>
      </c>
      <c r="F76" s="89">
        <f ca="1">AQ79</f>
        <v>0</v>
      </c>
      <c r="G76" s="398" t="s">
        <v>142</v>
      </c>
      <c r="H76" s="398" t="s">
        <v>148</v>
      </c>
      <c r="I76" s="63">
        <f t="shared" ca="1" si="42"/>
        <v>66</v>
      </c>
      <c r="J76" s="395">
        <f t="shared" si="43"/>
        <v>0</v>
      </c>
      <c r="K76" s="395">
        <f t="shared" si="44"/>
        <v>0</v>
      </c>
      <c r="L76" s="395">
        <f t="shared" si="45"/>
        <v>0</v>
      </c>
      <c r="M76" s="395">
        <f t="shared" si="46"/>
        <v>0</v>
      </c>
      <c r="N76" s="395">
        <f t="shared" si="47"/>
        <v>0</v>
      </c>
      <c r="O76" s="395">
        <f t="shared" si="48"/>
        <v>0</v>
      </c>
      <c r="P76" s="395">
        <f t="shared" si="49"/>
        <v>0</v>
      </c>
      <c r="Q76" s="395">
        <f t="shared" si="50"/>
        <v>0</v>
      </c>
      <c r="R76" s="395">
        <f t="shared" si="51"/>
        <v>0</v>
      </c>
      <c r="S76" s="395">
        <f t="shared" si="52"/>
        <v>0</v>
      </c>
      <c r="T76" s="395">
        <f t="shared" si="53"/>
        <v>0</v>
      </c>
      <c r="U76" s="395">
        <f t="shared" si="54"/>
        <v>0</v>
      </c>
      <c r="V76" s="395">
        <f t="shared" si="55"/>
        <v>0</v>
      </c>
      <c r="W76" s="395">
        <f t="shared" si="56"/>
        <v>0</v>
      </c>
      <c r="X76" s="395">
        <f t="shared" si="57"/>
        <v>0</v>
      </c>
      <c r="Y76" s="395">
        <f t="shared" si="58"/>
        <v>0</v>
      </c>
      <c r="Z76" s="395">
        <f t="shared" si="59"/>
        <v>0</v>
      </c>
      <c r="AA76" s="395">
        <f t="shared" si="60"/>
        <v>0</v>
      </c>
      <c r="AB76" s="395">
        <f t="shared" si="61"/>
        <v>0</v>
      </c>
      <c r="AC76" s="395">
        <f t="shared" si="62"/>
        <v>0</v>
      </c>
      <c r="AD76" s="395">
        <f t="shared" si="63"/>
        <v>0</v>
      </c>
      <c r="AE76" s="395">
        <f t="shared" si="64"/>
        <v>0</v>
      </c>
      <c r="AF76" s="395">
        <f t="shared" si="65"/>
        <v>0</v>
      </c>
      <c r="AG76" s="395">
        <f t="shared" si="66"/>
        <v>0</v>
      </c>
      <c r="AH76" s="395">
        <f t="shared" si="67"/>
        <v>0</v>
      </c>
      <c r="AI76" s="395">
        <f t="shared" si="68"/>
        <v>0</v>
      </c>
      <c r="AJ76" s="395">
        <f t="shared" si="69"/>
        <v>0</v>
      </c>
      <c r="AK76" s="395">
        <f t="shared" si="70"/>
        <v>0</v>
      </c>
      <c r="AL76" s="395">
        <f t="shared" si="71"/>
        <v>0</v>
      </c>
      <c r="AM76" s="395">
        <f t="shared" si="72"/>
        <v>0</v>
      </c>
      <c r="AN76" s="395">
        <f t="shared" si="73"/>
        <v>0</v>
      </c>
      <c r="AO76" s="395">
        <f t="shared" si="74"/>
        <v>0</v>
      </c>
      <c r="AP76" s="395">
        <f t="shared" ca="1" si="75"/>
        <v>0</v>
      </c>
      <c r="AQ76" s="395">
        <f t="shared" si="76"/>
        <v>0</v>
      </c>
      <c r="AR76" s="395">
        <f t="shared" si="77"/>
        <v>0</v>
      </c>
      <c r="AS76" s="395">
        <f t="shared" si="78"/>
        <v>0</v>
      </c>
      <c r="AT76" s="395">
        <f t="shared" si="79"/>
        <v>0</v>
      </c>
      <c r="AU76" s="395">
        <f t="shared" si="80"/>
        <v>0</v>
      </c>
      <c r="AV76" s="395">
        <f t="shared" si="81"/>
        <v>0</v>
      </c>
      <c r="AW76" s="395">
        <f t="shared" ca="1" si="82"/>
        <v>0</v>
      </c>
    </row>
    <row r="77" spans="1:49" s="430" customFormat="1" ht="12" customHeight="1">
      <c r="A77" s="63">
        <f t="array" aca="1" ref="A77" ca="1">IF(C77&lt;&gt;0,SUM(($C$11:C77&lt;&gt;0)*1),"")</f>
        <v>67</v>
      </c>
      <c r="B77" s="396">
        <v>42004</v>
      </c>
      <c r="C77" s="396" t="s">
        <v>154</v>
      </c>
      <c r="D77" s="396">
        <f t="shared" si="41"/>
        <v>42004</v>
      </c>
      <c r="E77" s="397" t="s">
        <v>160</v>
      </c>
      <c r="F77" s="89">
        <f ca="1">AR79</f>
        <v>0</v>
      </c>
      <c r="G77" s="398" t="s">
        <v>148</v>
      </c>
      <c r="H77" s="398" t="s">
        <v>144</v>
      </c>
      <c r="I77" s="63">
        <f t="shared" ca="1" si="42"/>
        <v>67</v>
      </c>
      <c r="J77" s="395">
        <f t="shared" si="43"/>
        <v>0</v>
      </c>
      <c r="K77" s="395">
        <f t="shared" si="44"/>
        <v>0</v>
      </c>
      <c r="L77" s="395">
        <f t="shared" si="45"/>
        <v>0</v>
      </c>
      <c r="M77" s="395">
        <f t="shared" si="46"/>
        <v>0</v>
      </c>
      <c r="N77" s="395">
        <f t="shared" si="47"/>
        <v>0</v>
      </c>
      <c r="O77" s="395">
        <f t="shared" si="48"/>
        <v>0</v>
      </c>
      <c r="P77" s="395">
        <f t="shared" si="49"/>
        <v>0</v>
      </c>
      <c r="Q77" s="395">
        <f t="shared" si="50"/>
        <v>0</v>
      </c>
      <c r="R77" s="395">
        <f t="shared" si="51"/>
        <v>0</v>
      </c>
      <c r="S77" s="395">
        <f t="shared" si="52"/>
        <v>0</v>
      </c>
      <c r="T77" s="395">
        <f t="shared" si="53"/>
        <v>0</v>
      </c>
      <c r="U77" s="395">
        <f t="shared" si="54"/>
        <v>0</v>
      </c>
      <c r="V77" s="395">
        <f t="shared" si="55"/>
        <v>0</v>
      </c>
      <c r="W77" s="395">
        <f t="shared" si="56"/>
        <v>0</v>
      </c>
      <c r="X77" s="395">
        <f t="shared" si="57"/>
        <v>0</v>
      </c>
      <c r="Y77" s="395">
        <f t="shared" si="58"/>
        <v>0</v>
      </c>
      <c r="Z77" s="395">
        <f t="shared" si="59"/>
        <v>0</v>
      </c>
      <c r="AA77" s="395">
        <f t="shared" si="60"/>
        <v>0</v>
      </c>
      <c r="AB77" s="395">
        <f t="shared" si="61"/>
        <v>0</v>
      </c>
      <c r="AC77" s="395">
        <f t="shared" si="62"/>
        <v>0</v>
      </c>
      <c r="AD77" s="395">
        <f t="shared" si="63"/>
        <v>0</v>
      </c>
      <c r="AE77" s="395">
        <f t="shared" si="64"/>
        <v>0</v>
      </c>
      <c r="AF77" s="395">
        <f t="shared" si="65"/>
        <v>0</v>
      </c>
      <c r="AG77" s="395">
        <f t="shared" si="66"/>
        <v>0</v>
      </c>
      <c r="AH77" s="395">
        <f t="shared" si="67"/>
        <v>0</v>
      </c>
      <c r="AI77" s="395">
        <f t="shared" si="68"/>
        <v>0</v>
      </c>
      <c r="AJ77" s="395">
        <f t="shared" si="69"/>
        <v>0</v>
      </c>
      <c r="AK77" s="395">
        <f t="shared" si="70"/>
        <v>0</v>
      </c>
      <c r="AL77" s="395">
        <f t="shared" si="71"/>
        <v>0</v>
      </c>
      <c r="AM77" s="395">
        <f t="shared" si="72"/>
        <v>0</v>
      </c>
      <c r="AN77" s="395">
        <f t="shared" si="73"/>
        <v>0</v>
      </c>
      <c r="AO77" s="395">
        <f t="shared" si="74"/>
        <v>0</v>
      </c>
      <c r="AP77" s="395">
        <f t="shared" si="75"/>
        <v>0</v>
      </c>
      <c r="AQ77" s="395">
        <f t="shared" si="76"/>
        <v>0</v>
      </c>
      <c r="AR77" s="395">
        <f t="shared" si="77"/>
        <v>0</v>
      </c>
      <c r="AS77" s="395">
        <f t="shared" ca="1" si="78"/>
        <v>0</v>
      </c>
      <c r="AT77" s="395">
        <f t="shared" si="79"/>
        <v>0</v>
      </c>
      <c r="AU77" s="395">
        <f t="shared" si="80"/>
        <v>0</v>
      </c>
      <c r="AV77" s="395">
        <f t="shared" ca="1" si="81"/>
        <v>0</v>
      </c>
      <c r="AW77" s="395">
        <f t="shared" si="82"/>
        <v>0</v>
      </c>
    </row>
    <row r="78" spans="1:49" s="392" customFormat="1" ht="12" customHeight="1">
      <c r="A78" s="63" t="str">
        <f t="array" ref="A78">IF(C78&lt;&gt;0,SUM(($C$11:C78&lt;&gt;0)*1),"")</f>
        <v/>
      </c>
      <c r="B78" s="291"/>
      <c r="C78" s="291"/>
      <c r="D78" s="291"/>
      <c r="E78" s="394"/>
      <c r="F78" s="65"/>
      <c r="G78" s="400"/>
      <c r="H78" s="400"/>
      <c r="I78" s="63" t="str">
        <f>A78</f>
        <v/>
      </c>
      <c r="J78" s="395">
        <f t="shared" si="43"/>
        <v>0</v>
      </c>
      <c r="K78" s="395">
        <f t="shared" si="44"/>
        <v>0</v>
      </c>
      <c r="L78" s="395">
        <f t="shared" si="45"/>
        <v>0</v>
      </c>
      <c r="M78" s="395">
        <f t="shared" si="46"/>
        <v>0</v>
      </c>
      <c r="N78" s="395">
        <f t="shared" si="47"/>
        <v>0</v>
      </c>
      <c r="O78" s="395">
        <f t="shared" si="48"/>
        <v>0</v>
      </c>
      <c r="P78" s="395">
        <f t="shared" si="49"/>
        <v>0</v>
      </c>
      <c r="Q78" s="395">
        <f t="shared" si="50"/>
        <v>0</v>
      </c>
      <c r="R78" s="395">
        <f t="shared" si="51"/>
        <v>0</v>
      </c>
      <c r="S78" s="395">
        <f t="shared" si="52"/>
        <v>0</v>
      </c>
      <c r="T78" s="395">
        <f t="shared" si="53"/>
        <v>0</v>
      </c>
      <c r="U78" s="395">
        <f t="shared" si="54"/>
        <v>0</v>
      </c>
      <c r="V78" s="395">
        <f t="shared" si="55"/>
        <v>0</v>
      </c>
      <c r="W78" s="395">
        <f t="shared" si="56"/>
        <v>0</v>
      </c>
      <c r="X78" s="395">
        <f t="shared" si="57"/>
        <v>0</v>
      </c>
      <c r="Y78" s="395">
        <f t="shared" si="58"/>
        <v>0</v>
      </c>
      <c r="Z78" s="395">
        <f t="shared" si="59"/>
        <v>0</v>
      </c>
      <c r="AA78" s="395">
        <f t="shared" si="60"/>
        <v>0</v>
      </c>
      <c r="AB78" s="395">
        <f t="shared" si="61"/>
        <v>0</v>
      </c>
      <c r="AC78" s="395">
        <f t="shared" si="62"/>
        <v>0</v>
      </c>
      <c r="AD78" s="395">
        <f t="shared" si="63"/>
        <v>0</v>
      </c>
      <c r="AE78" s="395">
        <f t="shared" si="64"/>
        <v>0</v>
      </c>
      <c r="AF78" s="395">
        <f t="shared" si="65"/>
        <v>0</v>
      </c>
      <c r="AG78" s="395">
        <f t="shared" si="66"/>
        <v>0</v>
      </c>
      <c r="AH78" s="395">
        <f t="shared" si="67"/>
        <v>0</v>
      </c>
      <c r="AI78" s="395">
        <f t="shared" si="68"/>
        <v>0</v>
      </c>
      <c r="AJ78" s="395">
        <f t="shared" si="69"/>
        <v>0</v>
      </c>
      <c r="AK78" s="395">
        <f t="shared" si="70"/>
        <v>0</v>
      </c>
      <c r="AL78" s="395">
        <f t="shared" si="71"/>
        <v>0</v>
      </c>
      <c r="AM78" s="395">
        <f t="shared" si="72"/>
        <v>0</v>
      </c>
      <c r="AN78" s="395">
        <f t="shared" si="73"/>
        <v>0</v>
      </c>
      <c r="AO78" s="395">
        <f t="shared" si="74"/>
        <v>0</v>
      </c>
      <c r="AP78" s="395">
        <f t="shared" si="75"/>
        <v>0</v>
      </c>
      <c r="AQ78" s="395">
        <f t="shared" si="76"/>
        <v>0</v>
      </c>
      <c r="AR78" s="395">
        <f t="shared" si="77"/>
        <v>0</v>
      </c>
      <c r="AS78" s="395">
        <f t="shared" si="78"/>
        <v>0</v>
      </c>
      <c r="AT78" s="395">
        <f t="shared" si="79"/>
        <v>0</v>
      </c>
      <c r="AU78" s="395">
        <f t="shared" si="80"/>
        <v>0</v>
      </c>
      <c r="AV78" s="395">
        <f t="shared" si="81"/>
        <v>0</v>
      </c>
      <c r="AW78" s="395">
        <f t="shared" si="82"/>
        <v>0</v>
      </c>
    </row>
    <row r="79" spans="1:49" s="392" customFormat="1" ht="12" customHeight="1">
      <c r="A79" s="401"/>
      <c r="B79" s="291"/>
      <c r="C79" s="431"/>
      <c r="D79" s="291"/>
      <c r="E79" s="394" t="s">
        <v>241</v>
      </c>
      <c r="F79" s="401"/>
      <c r="G79" s="400"/>
      <c r="H79" s="400"/>
      <c r="I79" s="401"/>
      <c r="J79" s="401">
        <f t="shared" ref="J79:AW79" ca="1" si="83">SUM(J11:J78)</f>
        <v>0</v>
      </c>
      <c r="K79" s="401">
        <f t="shared" ca="1" si="83"/>
        <v>119876000</v>
      </c>
      <c r="L79" s="401">
        <f t="shared" ca="1" si="83"/>
        <v>4218008594</v>
      </c>
      <c r="M79" s="401">
        <f t="shared" ca="1" si="83"/>
        <v>4556258054</v>
      </c>
      <c r="N79" s="401">
        <f t="shared" ca="1" si="83"/>
        <v>34125733</v>
      </c>
      <c r="O79" s="401">
        <f t="shared" ca="1" si="83"/>
        <v>0</v>
      </c>
      <c r="P79" s="401">
        <f t="shared" ca="1" si="83"/>
        <v>0</v>
      </c>
      <c r="Q79" s="401">
        <f t="shared" ca="1" si="83"/>
        <v>0</v>
      </c>
      <c r="R79" s="401">
        <f t="shared" ca="1" si="83"/>
        <v>404997014</v>
      </c>
      <c r="S79" s="401">
        <f t="shared" ca="1" si="83"/>
        <v>0</v>
      </c>
      <c r="T79" s="401">
        <f t="shared" ca="1" si="83"/>
        <v>4454359364</v>
      </c>
      <c r="U79" s="401">
        <f t="shared" ca="1" si="83"/>
        <v>370535204</v>
      </c>
      <c r="V79" s="401">
        <f t="shared" ca="1" si="83"/>
        <v>0</v>
      </c>
      <c r="W79" s="401">
        <f t="shared" ca="1" si="83"/>
        <v>0</v>
      </c>
      <c r="X79" s="401">
        <f t="shared" ca="1" si="83"/>
        <v>0</v>
      </c>
      <c r="Y79" s="401">
        <f t="shared" ca="1" si="83"/>
        <v>0</v>
      </c>
      <c r="Z79" s="401">
        <f t="shared" ca="1" si="83"/>
        <v>65500000</v>
      </c>
      <c r="AA79" s="401">
        <f t="shared" ca="1" si="83"/>
        <v>65500000</v>
      </c>
      <c r="AB79" s="401">
        <f t="shared" ca="1" si="83"/>
        <v>0</v>
      </c>
      <c r="AC79" s="401">
        <f t="shared" ca="1" si="83"/>
        <v>4100000000</v>
      </c>
      <c r="AD79" s="401">
        <f t="shared" ca="1" si="83"/>
        <v>0</v>
      </c>
      <c r="AE79" s="401">
        <f t="shared" ca="1" si="83"/>
        <v>0</v>
      </c>
      <c r="AF79" s="401">
        <f t="shared" ca="1" si="83"/>
        <v>0</v>
      </c>
      <c r="AG79" s="401">
        <f t="shared" ca="1" si="83"/>
        <v>0</v>
      </c>
      <c r="AH79" s="401">
        <f t="shared" ca="1" si="83"/>
        <v>35178553</v>
      </c>
      <c r="AI79" s="401">
        <f t="shared" ca="1" si="83"/>
        <v>0</v>
      </c>
      <c r="AJ79" s="401">
        <f t="shared" ca="1" si="83"/>
        <v>508594</v>
      </c>
      <c r="AK79" s="401">
        <f t="shared" ca="1" si="83"/>
        <v>508594</v>
      </c>
      <c r="AL79" s="401">
        <f t="shared" ca="1" si="83"/>
        <v>99426828</v>
      </c>
      <c r="AM79" s="401">
        <f t="shared" ca="1" si="83"/>
        <v>99426828</v>
      </c>
      <c r="AN79" s="401">
        <f t="shared" ca="1" si="83"/>
        <v>35687147</v>
      </c>
      <c r="AO79" s="401">
        <f t="shared" ca="1" si="83"/>
        <v>35687147</v>
      </c>
      <c r="AP79" s="401">
        <f t="shared" ca="1" si="83"/>
        <v>0</v>
      </c>
      <c r="AQ79" s="401">
        <f t="shared" ca="1" si="83"/>
        <v>0</v>
      </c>
      <c r="AR79" s="401">
        <f t="shared" ca="1" si="83"/>
        <v>0</v>
      </c>
      <c r="AS79" s="401">
        <f t="shared" ca="1" si="83"/>
        <v>0</v>
      </c>
      <c r="AT79" s="401">
        <f t="shared" ca="1" si="83"/>
        <v>0</v>
      </c>
      <c r="AU79" s="401">
        <f t="shared" ca="1" si="83"/>
        <v>0</v>
      </c>
      <c r="AV79" s="401">
        <f t="shared" ca="1" si="83"/>
        <v>35687147</v>
      </c>
      <c r="AW79" s="401">
        <f t="shared" ca="1" si="83"/>
        <v>35687147</v>
      </c>
    </row>
    <row r="80" spans="1:49" s="392" customFormat="1" ht="12" customHeight="1">
      <c r="A80" s="402"/>
      <c r="B80" s="402"/>
      <c r="C80" s="402"/>
      <c r="D80" s="402"/>
      <c r="E80" s="403" t="s">
        <v>292</v>
      </c>
      <c r="F80" s="402"/>
      <c r="G80" s="404"/>
      <c r="H80" s="404"/>
      <c r="I80" s="402"/>
      <c r="J80" s="424">
        <f ca="1">MAX(J10+J79-K10-K79,0)</f>
        <v>1681067500</v>
      </c>
      <c r="K80" s="424">
        <f ca="1">MAX(K10+K79-J10-J79,0)</f>
        <v>0</v>
      </c>
      <c r="L80" s="424">
        <f ca="1">MAX(L10+L79-M10-M79,0)</f>
        <v>500905227</v>
      </c>
      <c r="M80" s="424">
        <f ca="1">MAX(M10+M79-L10-L79,0)</f>
        <v>0</v>
      </c>
      <c r="N80" s="424">
        <f ca="1">MAX(N10+N79-O10-O79,0)</f>
        <v>197444018</v>
      </c>
      <c r="O80" s="424">
        <f ca="1">MAX(O10+O79-N10-N79,0)</f>
        <v>0</v>
      </c>
      <c r="P80" s="424">
        <f ca="1">MAX(P10+P79-Q10-Q79,0)</f>
        <v>0</v>
      </c>
      <c r="Q80" s="424">
        <f ca="1">MAX(Q10+Q79-P10-P79,0)</f>
        <v>0</v>
      </c>
      <c r="R80" s="424">
        <f ca="1">MAX(R10+R79-S10-S79,0)</f>
        <v>1984383750</v>
      </c>
      <c r="S80" s="424">
        <f ca="1">MAX(S10+S79-R10-R79,0)</f>
        <v>0</v>
      </c>
      <c r="T80" s="424">
        <f ca="1">MAX(T10+T79-U10-U79,0)</f>
        <v>6512610000</v>
      </c>
      <c r="U80" s="424">
        <f ca="1">MAX(U10+U79-T10-T79,0)</f>
        <v>0</v>
      </c>
      <c r="V80" s="424">
        <f ca="1">MAX(V10+V79-W10-W79,0)</f>
        <v>0</v>
      </c>
      <c r="W80" s="424">
        <f ca="1">MAX(W10+W79-V10-V79,0)</f>
        <v>0</v>
      </c>
      <c r="X80" s="424">
        <f ca="1">MAX(X10+X79-Y10-Y79,0)</f>
        <v>0</v>
      </c>
      <c r="Y80" s="424">
        <f ca="1">MAX(Y10+Y79-X10-X79,0)</f>
        <v>0</v>
      </c>
      <c r="Z80" s="424">
        <f ca="1">MAX(Z10+Z79-AA10-AA79,0)</f>
        <v>0</v>
      </c>
      <c r="AA80" s="424">
        <f ca="1">MAX(AA10+AA79-Z10-Z79,0)</f>
        <v>0</v>
      </c>
      <c r="AB80" s="424">
        <f ca="1">MAX(AB10+AB79-AC10-AC79,0)</f>
        <v>0</v>
      </c>
      <c r="AC80" s="424">
        <f ca="1">MAX(AC10+AC79-AB10-AB79,0)</f>
        <v>7100000000</v>
      </c>
      <c r="AD80" s="424">
        <f ca="1">MAX(AD10+AD79-AE10-AE79,0)</f>
        <v>0</v>
      </c>
      <c r="AE80" s="424">
        <f ca="1">MAX(AE10+AE79-AD10-AD79,0)</f>
        <v>4000000000</v>
      </c>
      <c r="AF80" s="424">
        <f ca="1">MAX(AF10+AF79-AG10-AG79,0)</f>
        <v>124728000</v>
      </c>
      <c r="AG80" s="424">
        <f ca="1">MAX(AG10+AG79-AF10-AF79,0)</f>
        <v>0</v>
      </c>
      <c r="AH80" s="424">
        <f ca="1">MAX(AH10+AH79-AI10-AI79,0)</f>
        <v>98861505</v>
      </c>
      <c r="AI80" s="424">
        <f ca="1">MAX(AI10+AI79-AH10-AH79,0)</f>
        <v>0</v>
      </c>
      <c r="AJ80" s="424">
        <f ca="1">MAX(AJ10+AJ79-AK10-AK79,0)</f>
        <v>0</v>
      </c>
      <c r="AK80" s="424">
        <f ca="1">MAX(AK10+AK79-AJ10-AJ79,0)</f>
        <v>0</v>
      </c>
      <c r="AL80" s="424">
        <f ca="1">MAX(AL10+AL79-AM10-AM79,0)</f>
        <v>0</v>
      </c>
      <c r="AM80" s="424">
        <f ca="1">MAX(AM10+AM79-AL10-AL79,0)</f>
        <v>0</v>
      </c>
      <c r="AN80" s="424">
        <f ca="1">MAX(AN10+AN79-AO10-AO79,0)</f>
        <v>0</v>
      </c>
      <c r="AO80" s="424">
        <f ca="1">MAX(AO10+AO79-AN10-AN79,0)</f>
        <v>0</v>
      </c>
      <c r="AP80" s="424">
        <f ca="1">MAX(AP10+AP79-AQ10-AQ79,0)</f>
        <v>0</v>
      </c>
      <c r="AQ80" s="424">
        <f ca="1">MAX(AQ10+AQ79-AP10-AP79,0)</f>
        <v>0</v>
      </c>
      <c r="AR80" s="424">
        <f ca="1">MAX(AR10+AR79-AS10-AS79,0)</f>
        <v>0</v>
      </c>
      <c r="AS80" s="424">
        <f ca="1">MAX(AS10+AS79-AR10-AR79,0)</f>
        <v>0</v>
      </c>
      <c r="AT80" s="424">
        <f ca="1">MAX(AT10+AT79-AU10-AU79,0)</f>
        <v>0</v>
      </c>
      <c r="AU80" s="424">
        <f ca="1">MAX(AU10+AU79-AT10-AT79,0)</f>
        <v>0</v>
      </c>
      <c r="AV80" s="424">
        <f ca="1">MAX(AV10+AV79-AW10-AW79,0)</f>
        <v>0</v>
      </c>
      <c r="AW80" s="424">
        <f ca="1">MAX(AW10+AW79-AV10-AV79,0)</f>
        <v>0</v>
      </c>
    </row>
    <row r="81" spans="1:49" s="392" customFormat="1" ht="12" customHeight="1">
      <c r="A81" s="406"/>
      <c r="B81" s="406"/>
      <c r="C81" s="407"/>
      <c r="D81" s="406"/>
      <c r="E81" s="408" t="s">
        <v>293</v>
      </c>
      <c r="F81" s="406"/>
      <c r="G81" s="409"/>
      <c r="H81" s="409"/>
      <c r="I81" s="406"/>
      <c r="J81" s="406">
        <f ca="1">J79+'07-09'!J85</f>
        <v>0</v>
      </c>
      <c r="K81" s="406">
        <f ca="1">K79+'07-09'!K85</f>
        <v>1343576000</v>
      </c>
      <c r="L81" s="406">
        <f ca="1">L79+'07-09'!L85</f>
        <v>8474947244</v>
      </c>
      <c r="M81" s="406">
        <f ca="1">M79+'07-09'!M85</f>
        <v>7974670517</v>
      </c>
      <c r="N81" s="406">
        <f ca="1">N79+'07-09'!N85</f>
        <v>197444018</v>
      </c>
      <c r="O81" s="406">
        <f ca="1">O79+'07-09'!O85</f>
        <v>0</v>
      </c>
      <c r="P81" s="406">
        <f ca="1">P79+'07-09'!P85</f>
        <v>33000000</v>
      </c>
      <c r="Q81" s="406">
        <f ca="1">Q79+'07-09'!Q85</f>
        <v>33000000</v>
      </c>
      <c r="R81" s="406">
        <f ca="1">R79+'07-09'!R85</f>
        <v>1984383750</v>
      </c>
      <c r="S81" s="406">
        <f ca="1">S79+'07-09'!S85</f>
        <v>0</v>
      </c>
      <c r="T81" s="406">
        <f ca="1">T79+'07-09'!T85</f>
        <v>7827334604</v>
      </c>
      <c r="U81" s="406">
        <f ca="1">U79+'07-09'!U85</f>
        <v>2164724604</v>
      </c>
      <c r="V81" s="406">
        <f ca="1">V79+'07-09'!V85</f>
        <v>0</v>
      </c>
      <c r="W81" s="406">
        <f ca="1">W79+'07-09'!W85</f>
        <v>0</v>
      </c>
      <c r="X81" s="406">
        <f ca="1">X79+'07-09'!X85</f>
        <v>1500000</v>
      </c>
      <c r="Y81" s="406">
        <f ca="1">Y79+'07-09'!Y85</f>
        <v>1500000</v>
      </c>
      <c r="Z81" s="406">
        <f ca="1">Z79+'07-09'!Z85</f>
        <v>646000000</v>
      </c>
      <c r="AA81" s="406">
        <f ca="1">AA79+'07-09'!AA85</f>
        <v>646000000</v>
      </c>
      <c r="AB81" s="406">
        <f ca="1">AB79+'07-09'!AB85</f>
        <v>0</v>
      </c>
      <c r="AC81" s="406">
        <f ca="1">AC79+'07-09'!AC85</f>
        <v>7100000000</v>
      </c>
      <c r="AD81" s="406">
        <f ca="1">AD79+'07-09'!AD85</f>
        <v>0</v>
      </c>
      <c r="AE81" s="406">
        <f ca="1">AE79+'07-09'!AE85</f>
        <v>0</v>
      </c>
      <c r="AF81" s="406">
        <f ca="1">AF79+'07-09'!AF85</f>
        <v>2041200</v>
      </c>
      <c r="AG81" s="406">
        <f ca="1">AG79+'07-09'!AG85</f>
        <v>0</v>
      </c>
      <c r="AH81" s="406">
        <f ca="1">AH79+'07-09'!AH85</f>
        <v>98861505</v>
      </c>
      <c r="AI81" s="406">
        <f ca="1">AI79+'07-09'!AI85</f>
        <v>2041200</v>
      </c>
      <c r="AJ81" s="406">
        <f ca="1">AJ79+'07-09'!AJ85</f>
        <v>747244</v>
      </c>
      <c r="AK81" s="406">
        <f ca="1">AK79+'07-09'!AK85</f>
        <v>747244</v>
      </c>
      <c r="AL81" s="406">
        <f ca="1">AL79+'07-09'!AL85</f>
        <v>108052291</v>
      </c>
      <c r="AM81" s="406">
        <f ca="1">AM79+'07-09'!AM85</f>
        <v>108052291</v>
      </c>
      <c r="AN81" s="406">
        <f ca="1">AN79+'07-09'!AN85</f>
        <v>99608749</v>
      </c>
      <c r="AO81" s="406">
        <f ca="1">AO79+'07-09'!AO85</f>
        <v>99608749</v>
      </c>
      <c r="AP81" s="406">
        <f ca="1">AP79+'07-09'!AP85</f>
        <v>0</v>
      </c>
      <c r="AQ81" s="406">
        <f ca="1">AQ79+'07-09'!AQ85</f>
        <v>0</v>
      </c>
      <c r="AR81" s="406">
        <f ca="1">AR79+'07-09'!AR85</f>
        <v>0</v>
      </c>
      <c r="AS81" s="406">
        <f ca="1">AS79+'07-09'!AS85</f>
        <v>0</v>
      </c>
      <c r="AT81" s="406">
        <f ca="1">AT79+'07-09'!AT85</f>
        <v>0</v>
      </c>
      <c r="AU81" s="406">
        <f ca="1">AU79+'07-09'!AU85</f>
        <v>0</v>
      </c>
      <c r="AV81" s="406">
        <f ca="1">AV79+'07-09'!AV85</f>
        <v>99608749</v>
      </c>
      <c r="AW81" s="406">
        <f ca="1">AW79+'07-09'!AW85</f>
        <v>99608749</v>
      </c>
    </row>
    <row r="82" spans="1:49" ht="12" customHeight="1">
      <c r="B82" s="411"/>
      <c r="C82" s="412"/>
      <c r="D82" s="412"/>
      <c r="E82" s="412"/>
      <c r="F82" s="412"/>
      <c r="G82" s="413"/>
      <c r="H82" s="413"/>
      <c r="I82" s="412"/>
      <c r="J82" s="412"/>
      <c r="K82" s="412"/>
      <c r="Z82" s="412"/>
      <c r="AA82" s="412"/>
      <c r="AB82" s="412"/>
      <c r="AC82" s="413"/>
      <c r="AD82" s="413"/>
      <c r="AE82" s="413"/>
      <c r="AF82" s="413"/>
      <c r="AG82" s="429"/>
      <c r="AH82" s="412"/>
      <c r="AI82" s="412"/>
      <c r="AJ82" s="412"/>
      <c r="AK82" s="412"/>
      <c r="AN82" s="412"/>
      <c r="AO82" s="412"/>
      <c r="AP82" s="412"/>
      <c r="AQ82" s="412"/>
      <c r="AR82" s="412"/>
      <c r="AS82" s="412"/>
      <c r="AV82" s="412"/>
      <c r="AW82" s="412"/>
    </row>
    <row r="83" spans="1:49" ht="12" customHeight="1">
      <c r="B83" s="411"/>
      <c r="C83" s="412"/>
      <c r="D83" s="412"/>
      <c r="E83" s="412"/>
      <c r="F83" s="412"/>
      <c r="G83" s="413"/>
      <c r="H83" s="413"/>
      <c r="I83" s="412"/>
      <c r="J83" s="412"/>
      <c r="K83" s="412"/>
      <c r="Z83" s="412"/>
      <c r="AA83" s="412"/>
      <c r="AB83" s="412"/>
      <c r="AC83" s="413"/>
      <c r="AD83" s="413"/>
      <c r="AE83" s="413"/>
      <c r="AF83" s="413"/>
      <c r="AG83" s="429"/>
      <c r="AH83" s="412"/>
      <c r="AI83" s="412"/>
      <c r="AJ83" s="412"/>
      <c r="AK83" s="412"/>
      <c r="AN83" s="412"/>
      <c r="AO83" s="412"/>
      <c r="AP83" s="412"/>
      <c r="AQ83" s="412"/>
      <c r="AR83" s="412"/>
      <c r="AS83" s="412"/>
      <c r="AV83" s="412"/>
      <c r="AW83" s="412"/>
    </row>
    <row r="84" spans="1:49" ht="12" customHeight="1">
      <c r="J84" s="414"/>
      <c r="K84" s="414"/>
      <c r="L84" s="414">
        <v>2367123</v>
      </c>
      <c r="M84" s="432"/>
      <c r="N84" s="432"/>
      <c r="O84" s="432"/>
      <c r="P84" s="414"/>
      <c r="AC84" s="371"/>
      <c r="AD84" s="371"/>
      <c r="AE84" s="371"/>
      <c r="AF84" s="371"/>
      <c r="AG84" s="433"/>
    </row>
    <row r="85" spans="1:49" s="377" customFormat="1" ht="12" customHeight="1">
      <c r="F85" s="434"/>
      <c r="G85" s="435"/>
      <c r="H85" s="435"/>
      <c r="P85" s="436"/>
      <c r="X85" s="370"/>
      <c r="Y85" s="370"/>
      <c r="AC85" s="435"/>
      <c r="AD85" s="435"/>
      <c r="AE85" s="435"/>
      <c r="AF85" s="435"/>
      <c r="AG85" s="437"/>
      <c r="AL85" s="370"/>
      <c r="AM85" s="370"/>
      <c r="AT85" s="370"/>
      <c r="AU85" s="370"/>
    </row>
    <row r="86" spans="1:49" ht="12" customHeight="1">
      <c r="L86" s="392">
        <f ca="1">L80-L84</f>
        <v>498538104</v>
      </c>
      <c r="AC86" s="371"/>
      <c r="AD86" s="371"/>
      <c r="AE86" s="371"/>
      <c r="AF86" s="371"/>
      <c r="AG86" s="433"/>
    </row>
    <row r="87" spans="1:49">
      <c r="J87" s="392"/>
      <c r="K87" s="392"/>
    </row>
    <row r="88" spans="1:49">
      <c r="R88" s="392"/>
    </row>
    <row r="89" spans="1:49">
      <c r="F89" s="392"/>
      <c r="R89" s="392"/>
    </row>
    <row r="90" spans="1:49">
      <c r="F90" s="392"/>
      <c r="R90" s="392"/>
    </row>
    <row r="91" spans="1:49">
      <c r="F91" s="392"/>
      <c r="G91" s="392"/>
      <c r="R91" s="392"/>
    </row>
    <row r="92" spans="1:49">
      <c r="F92" s="392"/>
      <c r="R92" s="392"/>
    </row>
    <row r="93" spans="1:49">
      <c r="F93" s="392"/>
      <c r="R93" s="392"/>
    </row>
    <row r="94" spans="1:49">
      <c r="F94" s="392"/>
      <c r="M94" s="414"/>
      <c r="N94" s="414"/>
      <c r="O94" s="414"/>
      <c r="P94" s="414"/>
      <c r="R94" s="392"/>
    </row>
    <row r="95" spans="1:49">
      <c r="E95" s="425"/>
      <c r="F95" s="392"/>
      <c r="M95" s="414"/>
      <c r="N95" s="414"/>
      <c r="O95" s="414"/>
      <c r="P95" s="414"/>
    </row>
    <row r="96" spans="1:49">
      <c r="F96" s="414"/>
      <c r="M96" s="414"/>
      <c r="N96" s="414"/>
      <c r="O96" s="414"/>
      <c r="P96" s="414"/>
    </row>
    <row r="97" spans="5:16">
      <c r="F97" s="414"/>
      <c r="M97" s="414"/>
      <c r="N97" s="414"/>
      <c r="O97" s="414"/>
      <c r="P97" s="414"/>
    </row>
    <row r="98" spans="5:16">
      <c r="E98" s="414"/>
      <c r="F98" s="414"/>
      <c r="M98" s="414"/>
      <c r="N98" s="414"/>
      <c r="O98" s="414"/>
      <c r="P98" s="414"/>
    </row>
    <row r="99" spans="5:16">
      <c r="E99" s="414"/>
      <c r="F99" s="414"/>
      <c r="M99" s="414"/>
      <c r="N99" s="414"/>
      <c r="O99" s="414"/>
      <c r="P99" s="414"/>
    </row>
    <row r="100" spans="5:16">
      <c r="E100" s="414"/>
      <c r="F100" s="414"/>
      <c r="M100" s="414"/>
      <c r="N100" s="414"/>
      <c r="O100" s="414"/>
      <c r="P100" s="414"/>
    </row>
    <row r="101" spans="5:16">
      <c r="E101" s="414"/>
      <c r="F101" s="414"/>
      <c r="M101" s="414"/>
      <c r="N101" s="414"/>
      <c r="O101" s="414"/>
      <c r="P101" s="414"/>
    </row>
    <row r="102" spans="5:16">
      <c r="E102" s="414"/>
      <c r="F102" s="414"/>
      <c r="M102" s="414"/>
      <c r="N102" s="414"/>
      <c r="O102" s="414"/>
      <c r="P102" s="414"/>
    </row>
    <row r="103" spans="5:16">
      <c r="E103" s="414"/>
      <c r="F103" s="414"/>
      <c r="M103" s="414"/>
      <c r="N103" s="414"/>
      <c r="O103" s="414"/>
      <c r="P103" s="414"/>
    </row>
    <row r="104" spans="5:16">
      <c r="F104" s="414"/>
      <c r="M104" s="414"/>
      <c r="N104" s="414"/>
      <c r="O104" s="414"/>
      <c r="P104" s="414"/>
    </row>
    <row r="105" spans="5:16">
      <c r="F105" s="414"/>
      <c r="M105" s="414"/>
      <c r="N105" s="414"/>
      <c r="O105" s="414"/>
      <c r="P105" s="414"/>
    </row>
    <row r="106" spans="5:16">
      <c r="F106" s="414"/>
      <c r="M106" s="414"/>
      <c r="N106" s="414"/>
      <c r="O106" s="414"/>
      <c r="P106" s="414"/>
    </row>
    <row r="107" spans="5:16">
      <c r="F107" s="414"/>
      <c r="M107" s="414"/>
      <c r="N107" s="414"/>
      <c r="O107" s="414"/>
      <c r="P107" s="414"/>
    </row>
    <row r="108" spans="5:16">
      <c r="F108" s="414"/>
      <c r="M108" s="414"/>
      <c r="N108" s="414"/>
      <c r="O108" s="414"/>
      <c r="P108" s="414"/>
    </row>
    <row r="109" spans="5:16">
      <c r="F109" s="414"/>
      <c r="M109" s="414"/>
      <c r="N109" s="414"/>
      <c r="O109" s="414"/>
      <c r="P109" s="414"/>
    </row>
    <row r="110" spans="5:16">
      <c r="M110" s="414"/>
      <c r="N110" s="414"/>
      <c r="O110" s="414"/>
      <c r="P110" s="414"/>
    </row>
    <row r="112" spans="5:16">
      <c r="M112" s="414"/>
      <c r="N112" s="414"/>
      <c r="O112" s="414"/>
      <c r="P112" s="414"/>
    </row>
    <row r="113" spans="13:16">
      <c r="M113" s="414"/>
      <c r="N113" s="414"/>
      <c r="O113" s="414"/>
      <c r="P113" s="414"/>
    </row>
    <row r="114" spans="13:16">
      <c r="M114" s="414"/>
      <c r="N114" s="414"/>
      <c r="O114" s="414"/>
      <c r="P114" s="414"/>
    </row>
    <row r="115" spans="13:16">
      <c r="M115" s="414"/>
      <c r="N115" s="414"/>
      <c r="O115" s="414"/>
      <c r="P115" s="414"/>
    </row>
    <row r="116" spans="13:16">
      <c r="M116" s="414"/>
      <c r="N116" s="414"/>
      <c r="O116" s="414"/>
      <c r="P116" s="414"/>
    </row>
    <row r="117" spans="13:16">
      <c r="M117" s="414"/>
      <c r="N117" s="414"/>
      <c r="O117" s="414"/>
      <c r="P117" s="414"/>
    </row>
    <row r="130" spans="13:15">
      <c r="M130" s="414"/>
      <c r="N130" s="414"/>
      <c r="O130" s="414"/>
    </row>
    <row r="147" spans="13:16">
      <c r="P147" s="414"/>
    </row>
    <row r="148" spans="13:16">
      <c r="P148" s="414"/>
    </row>
    <row r="149" spans="13:16">
      <c r="M149" s="414"/>
      <c r="N149" s="414"/>
      <c r="O149" s="414"/>
      <c r="P149" s="414"/>
    </row>
    <row r="150" spans="13:16">
      <c r="M150" s="414"/>
      <c r="N150" s="414"/>
      <c r="O150" s="414"/>
      <c r="P150" s="414"/>
    </row>
    <row r="151" spans="13:16">
      <c r="M151" s="414"/>
      <c r="N151" s="414"/>
      <c r="O151" s="414"/>
    </row>
    <row r="152" spans="13:16">
      <c r="M152" s="414"/>
      <c r="N152" s="414"/>
      <c r="O152" s="414"/>
    </row>
    <row r="154" spans="13:16">
      <c r="M154" s="414"/>
      <c r="N154" s="414"/>
      <c r="O154" s="414"/>
      <c r="P154" s="414"/>
    </row>
    <row r="155" spans="13:16">
      <c r="M155" s="414"/>
      <c r="N155" s="414"/>
      <c r="O155" s="414"/>
      <c r="P155" s="414"/>
    </row>
    <row r="162" spans="13:16">
      <c r="M162" s="414"/>
      <c r="N162" s="414"/>
      <c r="O162" s="414"/>
      <c r="P162" s="414"/>
    </row>
    <row r="163" spans="13:16">
      <c r="M163" s="414"/>
      <c r="N163" s="414"/>
      <c r="O163" s="414"/>
      <c r="P163" s="414"/>
    </row>
    <row r="164" spans="13:16">
      <c r="M164" s="414"/>
      <c r="N164" s="414"/>
      <c r="O164" s="414"/>
      <c r="P164" s="414"/>
    </row>
    <row r="168" spans="13:16">
      <c r="M168" s="414"/>
      <c r="N168" s="414"/>
      <c r="O168" s="414"/>
      <c r="P168" s="414"/>
    </row>
    <row r="169" spans="13:16">
      <c r="M169" s="414"/>
      <c r="N169" s="414"/>
      <c r="O169" s="414"/>
      <c r="P169" s="414"/>
    </row>
    <row r="170" spans="13:16">
      <c r="M170" s="414"/>
      <c r="N170" s="414"/>
      <c r="O170" s="414"/>
      <c r="P170" s="414"/>
    </row>
    <row r="171" spans="13:16">
      <c r="M171" s="414"/>
      <c r="N171" s="414"/>
      <c r="O171" s="414"/>
      <c r="P171" s="414"/>
    </row>
    <row r="172" spans="13:16">
      <c r="M172" s="414"/>
      <c r="N172" s="414"/>
      <c r="O172" s="414"/>
      <c r="P172" s="414"/>
    </row>
    <row r="173" spans="13:16">
      <c r="M173" s="414"/>
      <c r="N173" s="414"/>
      <c r="O173" s="414"/>
      <c r="P173" s="414"/>
    </row>
    <row r="174" spans="13:16">
      <c r="M174" s="414"/>
      <c r="N174" s="414"/>
      <c r="O174" s="414"/>
      <c r="P174" s="414"/>
    </row>
    <row r="175" spans="13:16">
      <c r="M175" s="414"/>
      <c r="N175" s="414"/>
      <c r="O175" s="414"/>
      <c r="P175" s="414"/>
    </row>
    <row r="176" spans="13:16">
      <c r="M176" s="414"/>
      <c r="N176" s="414"/>
      <c r="O176" s="414"/>
      <c r="P176" s="414"/>
    </row>
    <row r="177" spans="13:16">
      <c r="M177" s="414"/>
      <c r="N177" s="414"/>
      <c r="O177" s="414"/>
      <c r="P177" s="414"/>
    </row>
    <row r="178" spans="13:16">
      <c r="M178" s="414"/>
      <c r="N178" s="414"/>
      <c r="O178" s="414"/>
      <c r="P178" s="414"/>
    </row>
    <row r="179" spans="13:16">
      <c r="M179" s="414"/>
      <c r="N179" s="414"/>
      <c r="O179" s="414"/>
      <c r="P179" s="414"/>
    </row>
    <row r="180" spans="13:16">
      <c r="M180" s="414"/>
      <c r="N180" s="414"/>
      <c r="O180" s="414"/>
      <c r="P180" s="414"/>
    </row>
    <row r="181" spans="13:16">
      <c r="M181" s="414"/>
      <c r="N181" s="414"/>
      <c r="O181" s="414"/>
      <c r="P181" s="414"/>
    </row>
    <row r="182" spans="13:16">
      <c r="M182" s="414"/>
      <c r="N182" s="414"/>
      <c r="O182" s="414"/>
      <c r="P182" s="414"/>
    </row>
    <row r="183" spans="13:16">
      <c r="M183" s="414"/>
      <c r="N183" s="414"/>
      <c r="O183" s="414"/>
      <c r="P183" s="414"/>
    </row>
    <row r="184" spans="13:16">
      <c r="M184" s="414"/>
      <c r="N184" s="414"/>
      <c r="O184" s="414"/>
      <c r="P184" s="414"/>
    </row>
    <row r="185" spans="13:16">
      <c r="M185" s="414"/>
      <c r="N185" s="414"/>
      <c r="O185" s="414"/>
      <c r="P185" s="414"/>
    </row>
    <row r="186" spans="13:16">
      <c r="M186" s="414"/>
      <c r="N186" s="414"/>
      <c r="O186" s="414"/>
      <c r="P186" s="414"/>
    </row>
    <row r="187" spans="13:16">
      <c r="M187" s="414"/>
      <c r="N187" s="414"/>
      <c r="O187" s="414"/>
      <c r="P187" s="414"/>
    </row>
    <row r="188" spans="13:16">
      <c r="M188" s="414"/>
      <c r="N188" s="414"/>
      <c r="O188" s="414"/>
      <c r="P188" s="414"/>
    </row>
    <row r="189" spans="13:16">
      <c r="M189" s="414"/>
      <c r="N189" s="414"/>
      <c r="O189" s="414"/>
      <c r="P189" s="414"/>
    </row>
    <row r="190" spans="13:16">
      <c r="M190" s="414"/>
      <c r="N190" s="414"/>
      <c r="O190" s="414"/>
      <c r="P190" s="414"/>
    </row>
    <row r="191" spans="13:16">
      <c r="M191" s="414"/>
      <c r="N191" s="414"/>
      <c r="O191" s="414"/>
      <c r="P191" s="414"/>
    </row>
    <row r="192" spans="13:16">
      <c r="M192" s="414"/>
      <c r="N192" s="414"/>
      <c r="O192" s="414"/>
      <c r="P192" s="414"/>
    </row>
    <row r="193" spans="13:16">
      <c r="M193" s="414"/>
      <c r="N193" s="414"/>
      <c r="O193" s="414"/>
      <c r="P193" s="414"/>
    </row>
    <row r="194" spans="13:16">
      <c r="M194" s="414"/>
      <c r="N194" s="414"/>
      <c r="O194" s="414"/>
      <c r="P194" s="414"/>
    </row>
    <row r="195" spans="13:16">
      <c r="M195" s="414"/>
      <c r="N195" s="414"/>
      <c r="O195" s="414"/>
      <c r="P195" s="414"/>
    </row>
    <row r="196" spans="13:16">
      <c r="M196" s="414"/>
      <c r="N196" s="414"/>
      <c r="O196" s="414"/>
      <c r="P196" s="414"/>
    </row>
    <row r="197" spans="13:16">
      <c r="M197" s="414"/>
      <c r="N197" s="414"/>
      <c r="O197" s="414"/>
      <c r="P197" s="414"/>
    </row>
    <row r="198" spans="13:16">
      <c r="M198" s="414"/>
      <c r="N198" s="414"/>
      <c r="O198" s="414"/>
      <c r="P198" s="414"/>
    </row>
    <row r="199" spans="13:16">
      <c r="M199" s="414"/>
      <c r="N199" s="414"/>
      <c r="O199" s="414"/>
      <c r="P199" s="414"/>
    </row>
    <row r="200" spans="13:16">
      <c r="M200" s="414"/>
      <c r="N200" s="414"/>
      <c r="O200" s="414"/>
      <c r="P200" s="414"/>
    </row>
    <row r="201" spans="13:16">
      <c r="M201" s="414"/>
      <c r="N201" s="414"/>
      <c r="O201" s="414"/>
      <c r="P201" s="414"/>
    </row>
    <row r="202" spans="13:16">
      <c r="M202" s="414"/>
      <c r="N202" s="414"/>
      <c r="O202" s="414"/>
      <c r="P202" s="414"/>
    </row>
    <row r="203" spans="13:16">
      <c r="M203" s="414"/>
      <c r="N203" s="414"/>
      <c r="O203" s="414"/>
      <c r="P203" s="414"/>
    </row>
    <row r="204" spans="13:16">
      <c r="M204" s="414"/>
      <c r="N204" s="414"/>
      <c r="O204" s="414"/>
      <c r="P204" s="414"/>
    </row>
    <row r="205" spans="13:16">
      <c r="M205" s="414"/>
      <c r="N205" s="414"/>
      <c r="O205" s="414"/>
      <c r="P205" s="414"/>
    </row>
    <row r="206" spans="13:16">
      <c r="M206" s="414"/>
      <c r="N206" s="414"/>
      <c r="O206" s="414"/>
      <c r="P206" s="414"/>
    </row>
    <row r="207" spans="13:16">
      <c r="M207" s="414"/>
      <c r="N207" s="414"/>
      <c r="O207" s="414"/>
      <c r="P207" s="414"/>
    </row>
    <row r="208" spans="13:16">
      <c r="M208" s="414"/>
      <c r="N208" s="414"/>
      <c r="O208" s="414"/>
      <c r="P208" s="414"/>
    </row>
    <row r="209" spans="13:16">
      <c r="M209" s="414"/>
      <c r="N209" s="414"/>
      <c r="O209" s="414"/>
      <c r="P209" s="414"/>
    </row>
    <row r="210" spans="13:16">
      <c r="M210" s="414"/>
      <c r="N210" s="414"/>
      <c r="O210" s="414"/>
      <c r="P210" s="414"/>
    </row>
    <row r="211" spans="13:16">
      <c r="M211" s="414"/>
      <c r="N211" s="414"/>
      <c r="O211" s="414"/>
      <c r="P211" s="414"/>
    </row>
    <row r="212" spans="13:16">
      <c r="M212" s="414"/>
      <c r="N212" s="414"/>
      <c r="O212" s="414"/>
      <c r="P212" s="414"/>
    </row>
    <row r="213" spans="13:16">
      <c r="M213" s="414"/>
      <c r="N213" s="414"/>
      <c r="O213" s="414"/>
      <c r="P213" s="414"/>
    </row>
    <row r="214" spans="13:16">
      <c r="M214" s="414"/>
      <c r="N214" s="414"/>
      <c r="O214" s="414"/>
      <c r="P214" s="414"/>
    </row>
    <row r="215" spans="13:16">
      <c r="M215" s="414"/>
      <c r="N215" s="414"/>
      <c r="O215" s="414"/>
      <c r="P215" s="414"/>
    </row>
    <row r="216" spans="13:16">
      <c r="M216" s="414"/>
      <c r="N216" s="414"/>
      <c r="O216" s="414"/>
      <c r="P216" s="414"/>
    </row>
    <row r="217" spans="13:16">
      <c r="M217" s="414"/>
      <c r="N217" s="414"/>
      <c r="O217" s="414"/>
      <c r="P217" s="414"/>
    </row>
    <row r="218" spans="13:16">
      <c r="M218" s="414"/>
      <c r="N218" s="414"/>
      <c r="O218" s="414"/>
      <c r="P218" s="414"/>
    </row>
    <row r="219" spans="13:16">
      <c r="M219" s="414"/>
      <c r="N219" s="414"/>
      <c r="O219" s="414"/>
      <c r="P219" s="414"/>
    </row>
    <row r="220" spans="13:16">
      <c r="M220" s="414"/>
      <c r="N220" s="414"/>
      <c r="O220" s="414"/>
      <c r="P220" s="414"/>
    </row>
    <row r="221" spans="13:16">
      <c r="M221" s="414"/>
      <c r="N221" s="414"/>
      <c r="O221" s="414"/>
      <c r="P221" s="414"/>
    </row>
    <row r="222" spans="13:16">
      <c r="M222" s="414"/>
      <c r="N222" s="414"/>
      <c r="O222" s="414"/>
      <c r="P222" s="414"/>
    </row>
    <row r="223" spans="13:16">
      <c r="M223" s="414"/>
      <c r="N223" s="414"/>
      <c r="O223" s="414"/>
      <c r="P223" s="414"/>
    </row>
    <row r="224" spans="13:16">
      <c r="M224" s="414"/>
      <c r="N224" s="414"/>
      <c r="O224" s="414"/>
      <c r="P224" s="414"/>
    </row>
    <row r="225" spans="13:16">
      <c r="M225" s="414"/>
      <c r="N225" s="414"/>
      <c r="O225" s="414"/>
      <c r="P225" s="414"/>
    </row>
    <row r="226" spans="13:16">
      <c r="M226" s="414"/>
      <c r="N226" s="414"/>
      <c r="O226" s="414"/>
      <c r="P226" s="414"/>
    </row>
    <row r="227" spans="13:16">
      <c r="M227" s="414"/>
      <c r="N227" s="414"/>
      <c r="O227" s="414"/>
      <c r="P227" s="414"/>
    </row>
    <row r="228" spans="13:16">
      <c r="M228" s="414"/>
      <c r="N228" s="414"/>
      <c r="O228" s="414"/>
      <c r="P228" s="414"/>
    </row>
    <row r="229" spans="13:16">
      <c r="M229" s="414"/>
      <c r="N229" s="414"/>
      <c r="O229" s="414"/>
      <c r="P229" s="414"/>
    </row>
    <row r="230" spans="13:16">
      <c r="M230" s="414"/>
      <c r="N230" s="414"/>
      <c r="O230" s="414"/>
      <c r="P230" s="414"/>
    </row>
    <row r="231" spans="13:16">
      <c r="M231" s="414"/>
      <c r="N231" s="414"/>
      <c r="O231" s="414"/>
      <c r="P231" s="414"/>
    </row>
    <row r="232" spans="13:16">
      <c r="M232" s="414"/>
      <c r="N232" s="414"/>
      <c r="O232" s="414"/>
      <c r="P232" s="414"/>
    </row>
    <row r="233" spans="13:16">
      <c r="M233" s="414"/>
      <c r="N233" s="414"/>
      <c r="O233" s="414"/>
      <c r="P233" s="414"/>
    </row>
    <row r="234" spans="13:16">
      <c r="M234" s="414"/>
      <c r="N234" s="414"/>
      <c r="O234" s="414"/>
      <c r="P234" s="414"/>
    </row>
    <row r="235" spans="13:16">
      <c r="M235" s="414"/>
      <c r="N235" s="414"/>
      <c r="O235" s="414"/>
      <c r="P235" s="414"/>
    </row>
    <row r="236" spans="13:16">
      <c r="M236" s="414"/>
      <c r="N236" s="414"/>
      <c r="O236" s="414"/>
      <c r="P236" s="414"/>
    </row>
    <row r="237" spans="13:16">
      <c r="M237" s="414"/>
      <c r="N237" s="414"/>
      <c r="O237" s="414"/>
      <c r="P237" s="414"/>
    </row>
    <row r="238" spans="13:16">
      <c r="M238" s="414"/>
      <c r="N238" s="414"/>
      <c r="O238" s="414"/>
      <c r="P238" s="414"/>
    </row>
    <row r="239" spans="13:16">
      <c r="M239" s="414"/>
      <c r="N239" s="414"/>
      <c r="O239" s="414"/>
      <c r="P239" s="414"/>
    </row>
    <row r="240" spans="13:16">
      <c r="M240" s="414"/>
      <c r="N240" s="414"/>
      <c r="O240" s="414"/>
      <c r="P240" s="414"/>
    </row>
    <row r="241" spans="13:16">
      <c r="M241" s="414"/>
      <c r="N241" s="414"/>
      <c r="O241" s="414"/>
      <c r="P241" s="414"/>
    </row>
    <row r="242" spans="13:16">
      <c r="M242" s="414"/>
      <c r="N242" s="414"/>
      <c r="O242" s="414"/>
      <c r="P242" s="414"/>
    </row>
  </sheetData>
  <autoFilter ref="A9:AW81">
    <filterColumn colId="5"/>
    <filterColumn colId="6"/>
    <filterColumn colId="7"/>
  </autoFilter>
  <mergeCells count="30">
    <mergeCell ref="AT7:AU7"/>
    <mergeCell ref="AV7:AW7"/>
    <mergeCell ref="AH7:AI7"/>
    <mergeCell ref="AJ7:AK7"/>
    <mergeCell ref="AL7:AM7"/>
    <mergeCell ref="AN7:AO7"/>
    <mergeCell ref="AP7:AQ7"/>
    <mergeCell ref="AR7:AS7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2:I43"/>
  <sheetViews>
    <sheetView topLeftCell="A5" zoomScale="90" workbookViewId="0">
      <pane ySplit="10" topLeftCell="A15" activePane="bottomLeft" state="frozen"/>
      <selection activeCell="A5" sqref="A5"/>
      <selection pane="bottomLeft" activeCell="E7" sqref="E7"/>
    </sheetView>
  </sheetViews>
  <sheetFormatPr defaultRowHeight="15"/>
  <cols>
    <col min="1" max="1" width="10.42578125" style="249" customWidth="1"/>
    <col min="2" max="2" width="8.28515625" style="249" customWidth="1"/>
    <col min="3" max="3" width="10.28515625" style="249" customWidth="1"/>
    <col min="4" max="4" width="38.42578125" style="5" customWidth="1"/>
    <col min="5" max="5" width="7.28515625" style="249" customWidth="1"/>
    <col min="6" max="8" width="14.140625" style="5" customWidth="1"/>
    <col min="9" max="9" width="14.28515625" style="5" customWidth="1"/>
    <col min="10" max="16384" width="9.140625" style="5"/>
  </cols>
  <sheetData>
    <row r="2" spans="1:9" ht="15.75" customHeight="1">
      <c r="A2" s="1" t="s">
        <v>259</v>
      </c>
      <c r="G2" s="506" t="s">
        <v>260</v>
      </c>
      <c r="H2" s="506"/>
      <c r="I2" s="506"/>
    </row>
    <row r="3" spans="1:9" ht="15.75" customHeight="1">
      <c r="A3" s="1" t="s">
        <v>261</v>
      </c>
      <c r="G3" s="507" t="s">
        <v>195</v>
      </c>
      <c r="H3" s="507"/>
      <c r="I3" s="507"/>
    </row>
    <row r="4" spans="1:9">
      <c r="F4" s="17"/>
      <c r="G4" s="507"/>
      <c r="H4" s="507"/>
      <c r="I4" s="507"/>
    </row>
    <row r="5" spans="1:9" ht="17.25" customHeight="1">
      <c r="A5" s="508" t="s">
        <v>262</v>
      </c>
      <c r="B5" s="508"/>
      <c r="C5" s="508"/>
      <c r="D5" s="508"/>
      <c r="E5" s="508"/>
      <c r="F5" s="508"/>
      <c r="G5" s="508"/>
      <c r="H5" s="508"/>
      <c r="I5" s="508"/>
    </row>
    <row r="6" spans="1:9">
      <c r="A6" s="509" t="s">
        <v>263</v>
      </c>
      <c r="B6" s="503"/>
      <c r="C6" s="503"/>
      <c r="D6" s="503"/>
      <c r="E6" s="503"/>
      <c r="F6" s="503"/>
      <c r="G6" s="503"/>
      <c r="H6" s="503"/>
      <c r="I6" s="503"/>
    </row>
    <row r="7" spans="1:9">
      <c r="B7" s="5"/>
      <c r="C7" s="5"/>
      <c r="D7" s="347" t="s">
        <v>264</v>
      </c>
      <c r="E7" s="348" t="s">
        <v>133</v>
      </c>
    </row>
    <row r="8" spans="1:9">
      <c r="B8" s="5"/>
      <c r="C8" s="5"/>
      <c r="D8" s="347" t="s">
        <v>265</v>
      </c>
      <c r="E8" s="5" t="str">
        <f>VLOOKUP($E$7,DSTK,2,0)</f>
        <v xml:space="preserve"> Lợi Nhuận Chưa Phân Phối Năm Nay </v>
      </c>
    </row>
    <row r="9" spans="1:9">
      <c r="A9" s="503" t="s">
        <v>39</v>
      </c>
      <c r="B9" s="510"/>
      <c r="C9" s="510"/>
      <c r="D9" s="510"/>
      <c r="E9" s="510"/>
      <c r="F9" s="510"/>
      <c r="G9" s="510"/>
      <c r="H9" s="510"/>
      <c r="I9" s="510"/>
    </row>
    <row r="10" spans="1:9" ht="9.75" customHeight="1">
      <c r="C10" s="511"/>
      <c r="D10" s="512"/>
      <c r="E10" s="512"/>
      <c r="F10" s="512"/>
      <c r="G10" s="512"/>
      <c r="H10" s="512"/>
      <c r="I10" s="512"/>
    </row>
    <row r="11" spans="1:9" ht="19.5" customHeight="1">
      <c r="A11" s="513" t="s">
        <v>30</v>
      </c>
      <c r="B11" s="504" t="s">
        <v>1</v>
      </c>
      <c r="C11" s="514"/>
      <c r="D11" s="513" t="s">
        <v>0</v>
      </c>
      <c r="E11" s="513" t="s">
        <v>18</v>
      </c>
      <c r="F11" s="504" t="s">
        <v>31</v>
      </c>
      <c r="G11" s="514"/>
      <c r="H11" s="504" t="s">
        <v>41</v>
      </c>
      <c r="I11" s="505"/>
    </row>
    <row r="12" spans="1:9" ht="37.5" customHeight="1">
      <c r="A12" s="513"/>
      <c r="B12" s="349" t="s">
        <v>19</v>
      </c>
      <c r="C12" s="349" t="s">
        <v>42</v>
      </c>
      <c r="D12" s="513"/>
      <c r="E12" s="513"/>
      <c r="F12" s="349" t="s">
        <v>32</v>
      </c>
      <c r="G12" s="349" t="s">
        <v>33</v>
      </c>
      <c r="H12" s="349" t="s">
        <v>32</v>
      </c>
      <c r="I12" s="349" t="s">
        <v>33</v>
      </c>
    </row>
    <row r="13" spans="1:9" s="344" customFormat="1" ht="11.25" customHeight="1">
      <c r="A13" s="345" t="s">
        <v>2</v>
      </c>
      <c r="B13" s="346" t="s">
        <v>3</v>
      </c>
      <c r="C13" s="345" t="s">
        <v>4</v>
      </c>
      <c r="D13" s="345" t="s">
        <v>5</v>
      </c>
      <c r="E13" s="345" t="s">
        <v>6</v>
      </c>
      <c r="F13" s="345">
        <v>1</v>
      </c>
      <c r="G13" s="345">
        <v>2</v>
      </c>
      <c r="H13" s="345">
        <v>3</v>
      </c>
      <c r="I13" s="345">
        <v>4</v>
      </c>
    </row>
    <row r="14" spans="1:9" ht="16.5" customHeight="1">
      <c r="A14" s="350"/>
      <c r="B14" s="351"/>
      <c r="C14" s="350"/>
      <c r="D14" s="352" t="s">
        <v>7</v>
      </c>
      <c r="E14" s="351"/>
      <c r="F14" s="353"/>
      <c r="G14" s="353"/>
      <c r="H14" s="353">
        <f>VLOOKUP($E$7,DSTK,3,0)</f>
        <v>2041200</v>
      </c>
      <c r="I14" s="353">
        <f>VLOOKUP($E$7,DSTK,4,0)</f>
        <v>0</v>
      </c>
    </row>
    <row r="15" spans="1:9" ht="16.5" customHeight="1">
      <c r="A15" s="265">
        <f ca="1">IF(ROWS($1:1)&gt;COUNT(Dong5),"",OFFSET(TH!C$1,SMALL(Dong5,ROWS($1:1)),))</f>
        <v>42369</v>
      </c>
      <c r="B15" s="265" t="str">
        <f ca="1">IF(ROWS($1:1)&gt;COUNT(Dong5),"",OFFSET(TH!D$1,SMALL(Dong5,ROWS($1:1)),))</f>
        <v>BTKC</v>
      </c>
      <c r="C15" s="265">
        <f ca="1">IF(ROWS($1:1)&gt;COUNT(Dong5),"",OFFSET(TH!E$1,SMALL(Dong5,ROWS($1:1)),))</f>
        <v>42369</v>
      </c>
      <c r="D15" s="276" t="str">
        <f ca="1">IF(ROWS($1:1)&gt;COUNT(Dong5),"",OFFSET(TH!F$1,SMALL(Dong5,ROWS($1:1)),))</f>
        <v>K/C lãi SXKD</v>
      </c>
      <c r="E15" s="265" t="str">
        <f ca="1">IF(ROWS($1:1)&gt;COUNT(Dong5),"",IF(OFFSET(TH!J$1,SMALL(Dong5,ROWS($1:1)),)=$E$7,OFFSET(TH!K$1,SMALL(Dong5,ROWS($1:1)),),OFFSET(TH!J$1,SMALL(Dong5,ROWS($1:1)),)))</f>
        <v>911</v>
      </c>
      <c r="F15" s="354">
        <f ca="1">IF(ROWS($1:1)&gt;COUNT(Dong5),0,IF(OFFSET(TH!J$1,SMALL(Dong5,ROWS($1:1)),)=$E$7,OFFSET(TH!I$1,SMALL(Dong5,ROWS($1:1)),),0))</f>
        <v>99608749</v>
      </c>
      <c r="G15" s="353">
        <f ca="1">IF(ROWS($1:1)&gt;COUNT(Dong5),0,IF(OFFSET(TH!K$1,SMALL(Dong5,ROWS($1:1)),)=$E$7,OFFSET(TH!I$1,SMALL(Dong5,ROWS($1:1)),),0))</f>
        <v>0</v>
      </c>
      <c r="H15" s="355">
        <f ca="1">IF(D15&lt;&gt;"",MAX(H14+F15-G15-I14,0),0)</f>
        <v>101649949</v>
      </c>
      <c r="I15" s="355">
        <f ca="1">IF(D15&lt;&gt;"",MAX(I14+G15-H14-F15,0),0)</f>
        <v>0</v>
      </c>
    </row>
    <row r="16" spans="1:9" ht="16.5" customHeight="1">
      <c r="A16" s="265">
        <f ca="1">IF(ROWS($1:2)&gt;COUNT(Dong5),"",OFFSET(TH!C$1,SMALL(Dong5,ROWS($1:2)),))</f>
        <v>42369</v>
      </c>
      <c r="B16" s="265" t="str">
        <f ca="1">IF(ROWS($1:2)&gt;COUNT(Dong5),"",OFFSET(TH!D$1,SMALL(Dong5,ROWS($1:2)),))</f>
        <v>BTKC</v>
      </c>
      <c r="C16" s="265">
        <f ca="1">IF(ROWS($1:2)&gt;COUNT(Dong5),"",OFFSET(TH!E$1,SMALL(Dong5,ROWS($1:2)),))</f>
        <v>42369</v>
      </c>
      <c r="D16" s="276" t="str">
        <f ca="1">IF(ROWS($1:2)&gt;COUNT(Dong5),"",OFFSET(TH!F$1,SMALL(Dong5,ROWS($1:2)),))</f>
        <v>K/C doanh thu hoạt động tài chính</v>
      </c>
      <c r="E16" s="265" t="str">
        <f ca="1">IF(ROWS($1:2)&gt;COUNT(Dong5),"",IF(OFFSET(TH!J$1,SMALL(Dong5,ROWS($1:2)),)=$E$7,OFFSET(TH!K$1,SMALL(Dong5,ROWS($1:2)),),OFFSET(TH!J$1,SMALL(Dong5,ROWS($1:2)),)))</f>
        <v>515</v>
      </c>
      <c r="F16" s="354">
        <f ca="1">IF(ROWS($1:2)&gt;COUNT(Dong5),0,IF(OFFSET(TH!J$1,SMALL(Dong5,ROWS($1:2)),)=$E$7,OFFSET(TH!I$1,SMALL(Dong5,ROWS($1:2)),),0))</f>
        <v>0</v>
      </c>
      <c r="G16" s="353">
        <f ca="1">IF(ROWS($1:2)&gt;COUNT(Dong5),0,IF(OFFSET(TH!K$1,SMALL(Dong5,ROWS($1:2)),)=$E$7,OFFSET(TH!I$1,SMALL(Dong5,ROWS($1:2)),),0))</f>
        <v>747244</v>
      </c>
      <c r="H16" s="355">
        <f t="shared" ref="H16:H32" ca="1" si="0">IF(D16&lt;&gt;"",MAX(H15+F16-G16-I15,0),0)</f>
        <v>100902705</v>
      </c>
      <c r="I16" s="355">
        <f t="shared" ref="I16:I32" ca="1" si="1">IF(D16&lt;&gt;"",MAX(I15+G16-H15-F16,0),0)</f>
        <v>0</v>
      </c>
    </row>
    <row r="17" spans="1:9" ht="16.5" customHeight="1">
      <c r="A17" s="265">
        <f ca="1">IF(ROWS($1:3)&gt;COUNT(Dong5),"",OFFSET(TH!C$1,SMALL(Dong5,ROWS($1:3)),))</f>
        <v>42369</v>
      </c>
      <c r="B17" s="265" t="str">
        <f ca="1">IF(ROWS($1:3)&gt;COUNT(Dong5),"",OFFSET(TH!D$1,SMALL(Dong5,ROWS($1:3)),))</f>
        <v>BTKC</v>
      </c>
      <c r="C17" s="265">
        <f ca="1">IF(ROWS($1:3)&gt;COUNT(Dong5),"",OFFSET(TH!E$1,SMALL(Dong5,ROWS($1:3)),))</f>
        <v>42369</v>
      </c>
      <c r="D17" s="276" t="str">
        <f ca="1">IF(ROWS($1:3)&gt;COUNT(Dong5),"",OFFSET(TH!F$1,SMALL(Dong5,ROWS($1:3)),))</f>
        <v>K/C Thu nhập sau thuế</v>
      </c>
      <c r="E17" s="265" t="str">
        <f ca="1">IF(ROWS($1:3)&gt;COUNT(Dong5),"",IF(OFFSET(TH!J$1,SMALL(Dong5,ROWS($1:3)),)=$E$7,OFFSET(TH!K$1,SMALL(Dong5,ROWS($1:3)),),OFFSET(TH!J$1,SMALL(Dong5,ROWS($1:3)),)))</f>
        <v>4211</v>
      </c>
      <c r="F17" s="354">
        <f ca="1">IF(ROWS($1:3)&gt;COUNT(Dong5),0,IF(OFFSET(TH!J$1,SMALL(Dong5,ROWS($1:3)),)=$E$7,OFFSET(TH!I$1,SMALL(Dong5,ROWS($1:3)),),0))</f>
        <v>0</v>
      </c>
      <c r="G17" s="353">
        <f ca="1">IF(ROWS($1:3)&gt;COUNT(Dong5),0,IF(OFFSET(TH!K$1,SMALL(Dong5,ROWS($1:3)),)=$E$7,OFFSET(TH!I$1,SMALL(Dong5,ROWS($1:3)),),0))</f>
        <v>2041200</v>
      </c>
      <c r="H17" s="355">
        <f t="shared" ca="1" si="0"/>
        <v>98861505</v>
      </c>
      <c r="I17" s="355">
        <f t="shared" ca="1" si="1"/>
        <v>0</v>
      </c>
    </row>
    <row r="18" spans="1:9" ht="16.5" customHeight="1">
      <c r="A18" s="265" t="str">
        <f ca="1">IF(ROWS($1:4)&gt;COUNT(Dong5),"",OFFSET(TH!C$1,SMALL(Dong5,ROWS($1:4)),))</f>
        <v/>
      </c>
      <c r="B18" s="265" t="str">
        <f ca="1">IF(ROWS($1:4)&gt;COUNT(Dong5),"",OFFSET(TH!D$1,SMALL(Dong5,ROWS($1:4)),))</f>
        <v/>
      </c>
      <c r="C18" s="265" t="str">
        <f ca="1">IF(ROWS($1:4)&gt;COUNT(Dong5),"",OFFSET(TH!E$1,SMALL(Dong5,ROWS($1:4)),))</f>
        <v/>
      </c>
      <c r="D18" s="276" t="str">
        <f ca="1">IF(ROWS($1:4)&gt;COUNT(Dong5),"",OFFSET(TH!F$1,SMALL(Dong5,ROWS($1:4)),))</f>
        <v/>
      </c>
      <c r="E18" s="265" t="str">
        <f ca="1">IF(ROWS($1:4)&gt;COUNT(Dong5),"",IF(OFFSET(TH!J$1,SMALL(Dong5,ROWS($1:4)),)=$E$7,OFFSET(TH!K$1,SMALL(Dong5,ROWS($1:4)),),OFFSET(TH!J$1,SMALL(Dong5,ROWS($1:4)),)))</f>
        <v/>
      </c>
      <c r="F18" s="354">
        <f ca="1">IF(ROWS($1:4)&gt;COUNT(Dong5),0,IF(OFFSET(TH!J$1,SMALL(Dong5,ROWS($1:4)),)=$E$7,OFFSET(TH!I$1,SMALL(Dong5,ROWS($1:4)),),0))</f>
        <v>0</v>
      </c>
      <c r="G18" s="353">
        <f ca="1">IF(ROWS($1:4)&gt;COUNT(Dong5),0,IF(OFFSET(TH!K$1,SMALL(Dong5,ROWS($1:4)),)=$E$7,OFFSET(TH!I$1,SMALL(Dong5,ROWS($1:4)),),0))</f>
        <v>0</v>
      </c>
      <c r="H18" s="355">
        <f t="shared" ca="1" si="0"/>
        <v>0</v>
      </c>
      <c r="I18" s="355">
        <f t="shared" ca="1" si="1"/>
        <v>0</v>
      </c>
    </row>
    <row r="19" spans="1:9" ht="16.5" customHeight="1">
      <c r="A19" s="265" t="str">
        <f ca="1">IF(ROWS($1:5)&gt;COUNT(Dong5),"",OFFSET(TH!C$1,SMALL(Dong5,ROWS($1:5)),))</f>
        <v/>
      </c>
      <c r="B19" s="265" t="str">
        <f ca="1">IF(ROWS($1:5)&gt;COUNT(Dong5),"",OFFSET(TH!D$1,SMALL(Dong5,ROWS($1:5)),))</f>
        <v/>
      </c>
      <c r="C19" s="265" t="str">
        <f ca="1">IF(ROWS($1:5)&gt;COUNT(Dong5),"",OFFSET(TH!E$1,SMALL(Dong5,ROWS($1:5)),))</f>
        <v/>
      </c>
      <c r="D19" s="276" t="str">
        <f ca="1">IF(ROWS($1:5)&gt;COUNT(Dong5),"",OFFSET(TH!F$1,SMALL(Dong5,ROWS($1:5)),))</f>
        <v/>
      </c>
      <c r="E19" s="265" t="str">
        <f ca="1">IF(ROWS($1:5)&gt;COUNT(Dong5),"",IF(OFFSET(TH!J$1,SMALL(Dong5,ROWS($1:5)),)=$E$7,OFFSET(TH!K$1,SMALL(Dong5,ROWS($1:5)),),OFFSET(TH!J$1,SMALL(Dong5,ROWS($1:5)),)))</f>
        <v/>
      </c>
      <c r="F19" s="354">
        <f ca="1">IF(ROWS($1:5)&gt;COUNT(Dong5),0,IF(OFFSET(TH!J$1,SMALL(Dong5,ROWS($1:5)),)=$E$7,OFFSET(TH!I$1,SMALL(Dong5,ROWS($1:5)),),0))</f>
        <v>0</v>
      </c>
      <c r="G19" s="353">
        <f ca="1">IF(ROWS($1:5)&gt;COUNT(Dong5),0,IF(OFFSET(TH!K$1,SMALL(Dong5,ROWS($1:5)),)=$E$7,OFFSET(TH!I$1,SMALL(Dong5,ROWS($1:5)),),0))</f>
        <v>0</v>
      </c>
      <c r="H19" s="355">
        <f t="shared" ca="1" si="0"/>
        <v>0</v>
      </c>
      <c r="I19" s="355">
        <f t="shared" ca="1" si="1"/>
        <v>0</v>
      </c>
    </row>
    <row r="20" spans="1:9" ht="16.5" customHeight="1">
      <c r="A20" s="265" t="str">
        <f ca="1">IF(ROWS($1:6)&gt;COUNT(Dong5),"",OFFSET(TH!C$1,SMALL(Dong5,ROWS($1:6)),))</f>
        <v/>
      </c>
      <c r="B20" s="265" t="str">
        <f ca="1">IF(ROWS($1:6)&gt;COUNT(Dong5),"",OFFSET(TH!D$1,SMALL(Dong5,ROWS($1:6)),))</f>
        <v/>
      </c>
      <c r="C20" s="265" t="str">
        <f ca="1">IF(ROWS($1:6)&gt;COUNT(Dong5),"",OFFSET(TH!E$1,SMALL(Dong5,ROWS($1:6)),))</f>
        <v/>
      </c>
      <c r="D20" s="276" t="str">
        <f ca="1">IF(ROWS($1:6)&gt;COUNT(Dong5),"",OFFSET(TH!F$1,SMALL(Dong5,ROWS($1:6)),))</f>
        <v/>
      </c>
      <c r="E20" s="265" t="str">
        <f ca="1">IF(ROWS($1:6)&gt;COUNT(Dong5),"",IF(OFFSET(TH!J$1,SMALL(Dong5,ROWS($1:6)),)=$E$7,OFFSET(TH!K$1,SMALL(Dong5,ROWS($1:6)),),OFFSET(TH!J$1,SMALL(Dong5,ROWS($1:6)),)))</f>
        <v/>
      </c>
      <c r="F20" s="354">
        <f ca="1">IF(ROWS($1:6)&gt;COUNT(Dong5),0,IF(OFFSET(TH!J$1,SMALL(Dong5,ROWS($1:6)),)=$E$7,OFFSET(TH!I$1,SMALL(Dong5,ROWS($1:6)),),0))</f>
        <v>0</v>
      </c>
      <c r="G20" s="353">
        <f ca="1">IF(ROWS($1:6)&gt;COUNT(Dong5),0,IF(OFFSET(TH!K$1,SMALL(Dong5,ROWS($1:6)),)=$E$7,OFFSET(TH!I$1,SMALL(Dong5,ROWS($1:6)),),0))</f>
        <v>0</v>
      </c>
      <c r="H20" s="355">
        <f t="shared" ca="1" si="0"/>
        <v>0</v>
      </c>
      <c r="I20" s="355">
        <f t="shared" ca="1" si="1"/>
        <v>0</v>
      </c>
    </row>
    <row r="21" spans="1:9" ht="16.5" customHeight="1">
      <c r="A21" s="265" t="str">
        <f ca="1">IF(ROWS($1:7)&gt;COUNT(Dong5),"",OFFSET(TH!C$1,SMALL(Dong5,ROWS($1:7)),))</f>
        <v/>
      </c>
      <c r="B21" s="265" t="str">
        <f ca="1">IF(ROWS($1:7)&gt;COUNT(Dong5),"",OFFSET(TH!D$1,SMALL(Dong5,ROWS($1:7)),))</f>
        <v/>
      </c>
      <c r="C21" s="265" t="str">
        <f ca="1">IF(ROWS($1:7)&gt;COUNT(Dong5),"",OFFSET(TH!E$1,SMALL(Dong5,ROWS($1:7)),))</f>
        <v/>
      </c>
      <c r="D21" s="276" t="str">
        <f ca="1">IF(ROWS($1:7)&gt;COUNT(Dong5),"",OFFSET(TH!F$1,SMALL(Dong5,ROWS($1:7)),))</f>
        <v/>
      </c>
      <c r="E21" s="265" t="str">
        <f ca="1">IF(ROWS($1:7)&gt;COUNT(Dong5),"",IF(OFFSET(TH!J$1,SMALL(Dong5,ROWS($1:7)),)=$E$7,OFFSET(TH!K$1,SMALL(Dong5,ROWS($1:7)),),OFFSET(TH!J$1,SMALL(Dong5,ROWS($1:7)),)))</f>
        <v/>
      </c>
      <c r="F21" s="354">
        <f ca="1">IF(ROWS($1:7)&gt;COUNT(Dong5),0,IF(OFFSET(TH!J$1,SMALL(Dong5,ROWS($1:7)),)=$E$7,OFFSET(TH!I$1,SMALL(Dong5,ROWS($1:7)),),0))</f>
        <v>0</v>
      </c>
      <c r="G21" s="353">
        <f ca="1">IF(ROWS($1:7)&gt;COUNT(Dong5),0,IF(OFFSET(TH!K$1,SMALL(Dong5,ROWS($1:7)),)=$E$7,OFFSET(TH!I$1,SMALL(Dong5,ROWS($1:7)),),0))</f>
        <v>0</v>
      </c>
      <c r="H21" s="355">
        <f t="shared" ca="1" si="0"/>
        <v>0</v>
      </c>
      <c r="I21" s="355">
        <f t="shared" ca="1" si="1"/>
        <v>0</v>
      </c>
    </row>
    <row r="22" spans="1:9" ht="16.5" customHeight="1">
      <c r="A22" s="265" t="str">
        <f ca="1">IF(ROWS($1:8)&gt;COUNT(Dong5),"",OFFSET(TH!C$1,SMALL(Dong5,ROWS($1:8)),))</f>
        <v/>
      </c>
      <c r="B22" s="265" t="str">
        <f ca="1">IF(ROWS($1:8)&gt;COUNT(Dong5),"",OFFSET(TH!D$1,SMALL(Dong5,ROWS($1:8)),))</f>
        <v/>
      </c>
      <c r="C22" s="265" t="str">
        <f ca="1">IF(ROWS($1:8)&gt;COUNT(Dong5),"",OFFSET(TH!E$1,SMALL(Dong5,ROWS($1:8)),))</f>
        <v/>
      </c>
      <c r="D22" s="276" t="str">
        <f ca="1">IF(ROWS($1:8)&gt;COUNT(Dong5),"",OFFSET(TH!F$1,SMALL(Dong5,ROWS($1:8)),))</f>
        <v/>
      </c>
      <c r="E22" s="265" t="str">
        <f ca="1">IF(ROWS($1:8)&gt;COUNT(Dong5),"",IF(OFFSET(TH!J$1,SMALL(Dong5,ROWS($1:8)),)=$E$7,OFFSET(TH!K$1,SMALL(Dong5,ROWS($1:8)),),OFFSET(TH!J$1,SMALL(Dong5,ROWS($1:8)),)))</f>
        <v/>
      </c>
      <c r="F22" s="354">
        <f ca="1">IF(ROWS($1:8)&gt;COUNT(Dong5),0,IF(OFFSET(TH!J$1,SMALL(Dong5,ROWS($1:8)),)=$E$7,OFFSET(TH!I$1,SMALL(Dong5,ROWS($1:8)),),0))</f>
        <v>0</v>
      </c>
      <c r="G22" s="353">
        <f ca="1">IF(ROWS($1:8)&gt;COUNT(Dong5),0,IF(OFFSET(TH!K$1,SMALL(Dong5,ROWS($1:8)),)=$E$7,OFFSET(TH!I$1,SMALL(Dong5,ROWS($1:8)),),0))</f>
        <v>0</v>
      </c>
      <c r="H22" s="355">
        <f t="shared" ca="1" si="0"/>
        <v>0</v>
      </c>
      <c r="I22" s="355">
        <f t="shared" ca="1" si="1"/>
        <v>0</v>
      </c>
    </row>
    <row r="23" spans="1:9" ht="16.5" customHeight="1">
      <c r="A23" s="265" t="str">
        <f ca="1">IF(ROWS($1:9)&gt;COUNT(Dong5),"",OFFSET(TH!C$1,SMALL(Dong5,ROWS($1:9)),))</f>
        <v/>
      </c>
      <c r="B23" s="265" t="str">
        <f ca="1">IF(ROWS($1:9)&gt;COUNT(Dong5),"",OFFSET(TH!D$1,SMALL(Dong5,ROWS($1:9)),))</f>
        <v/>
      </c>
      <c r="C23" s="265" t="str">
        <f ca="1">IF(ROWS($1:9)&gt;COUNT(Dong5),"",OFFSET(TH!E$1,SMALL(Dong5,ROWS($1:9)),))</f>
        <v/>
      </c>
      <c r="D23" s="276" t="str">
        <f ca="1">IF(ROWS($1:9)&gt;COUNT(Dong5),"",OFFSET(TH!F$1,SMALL(Dong5,ROWS($1:9)),))</f>
        <v/>
      </c>
      <c r="E23" s="265" t="str">
        <f ca="1">IF(ROWS($1:9)&gt;COUNT(Dong5),"",IF(OFFSET(TH!J$1,SMALL(Dong5,ROWS($1:9)),)=$E$7,OFFSET(TH!K$1,SMALL(Dong5,ROWS($1:9)),),OFFSET(TH!J$1,SMALL(Dong5,ROWS($1:9)),)))</f>
        <v/>
      </c>
      <c r="F23" s="354">
        <f ca="1">IF(ROWS($1:9)&gt;COUNT(Dong5),0,IF(OFFSET(TH!J$1,SMALL(Dong5,ROWS($1:9)),)=$E$7,OFFSET(TH!I$1,SMALL(Dong5,ROWS($1:9)),),0))</f>
        <v>0</v>
      </c>
      <c r="G23" s="353">
        <f ca="1">IF(ROWS($1:9)&gt;COUNT(Dong5),0,IF(OFFSET(TH!K$1,SMALL(Dong5,ROWS($1:9)),)=$E$7,OFFSET(TH!I$1,SMALL(Dong5,ROWS($1:9)),),0))</f>
        <v>0</v>
      </c>
      <c r="H23" s="355">
        <f t="shared" ca="1" si="0"/>
        <v>0</v>
      </c>
      <c r="I23" s="355">
        <f t="shared" ca="1" si="1"/>
        <v>0</v>
      </c>
    </row>
    <row r="24" spans="1:9" ht="16.5" customHeight="1">
      <c r="A24" s="265" t="str">
        <f ca="1">IF(ROWS($1:10)&gt;COUNT(Dong5),"",OFFSET(TH!C$1,SMALL(Dong5,ROWS($1:10)),))</f>
        <v/>
      </c>
      <c r="B24" s="265" t="str">
        <f ca="1">IF(ROWS($1:10)&gt;COUNT(Dong5),"",OFFSET(TH!D$1,SMALL(Dong5,ROWS($1:10)),))</f>
        <v/>
      </c>
      <c r="C24" s="265" t="str">
        <f ca="1">IF(ROWS($1:10)&gt;COUNT(Dong5),"",OFFSET(TH!E$1,SMALL(Dong5,ROWS($1:10)),))</f>
        <v/>
      </c>
      <c r="D24" s="276" t="str">
        <f ca="1">IF(ROWS($1:10)&gt;COUNT(Dong5),"",OFFSET(TH!F$1,SMALL(Dong5,ROWS($1:10)),))</f>
        <v/>
      </c>
      <c r="E24" s="265" t="str">
        <f ca="1">IF(ROWS($1:10)&gt;COUNT(Dong5),"",IF(OFFSET(TH!J$1,SMALL(Dong5,ROWS($1:10)),)=$E$7,OFFSET(TH!K$1,SMALL(Dong5,ROWS($1:10)),),OFFSET(TH!J$1,SMALL(Dong5,ROWS($1:10)),)))</f>
        <v/>
      </c>
      <c r="F24" s="354">
        <f ca="1">IF(ROWS($1:10)&gt;COUNT(Dong5),0,IF(OFFSET(TH!J$1,SMALL(Dong5,ROWS($1:10)),)=$E$7,OFFSET(TH!I$1,SMALL(Dong5,ROWS($1:10)),),0))</f>
        <v>0</v>
      </c>
      <c r="G24" s="353">
        <f ca="1">IF(ROWS($1:10)&gt;COUNT(Dong5),0,IF(OFFSET(TH!K$1,SMALL(Dong5,ROWS($1:10)),)=$E$7,OFFSET(TH!I$1,SMALL(Dong5,ROWS($1:10)),),0))</f>
        <v>0</v>
      </c>
      <c r="H24" s="355">
        <f t="shared" ca="1" si="0"/>
        <v>0</v>
      </c>
      <c r="I24" s="355">
        <f t="shared" ca="1" si="1"/>
        <v>0</v>
      </c>
    </row>
    <row r="25" spans="1:9" ht="16.5" customHeight="1">
      <c r="A25" s="265" t="str">
        <f ca="1">IF(ROWS($1:11)&gt;COUNT(Dong5),"",OFFSET(TH!C$1,SMALL(Dong5,ROWS($1:11)),))</f>
        <v/>
      </c>
      <c r="B25" s="265" t="str">
        <f ca="1">IF(ROWS($1:11)&gt;COUNT(Dong5),"",OFFSET(TH!D$1,SMALL(Dong5,ROWS($1:11)),))</f>
        <v/>
      </c>
      <c r="C25" s="265" t="str">
        <f ca="1">IF(ROWS($1:11)&gt;COUNT(Dong5),"",OFFSET(TH!E$1,SMALL(Dong5,ROWS($1:11)),))</f>
        <v/>
      </c>
      <c r="D25" s="276" t="str">
        <f ca="1">IF(ROWS($1:11)&gt;COUNT(Dong5),"",OFFSET(TH!F$1,SMALL(Dong5,ROWS($1:11)),))</f>
        <v/>
      </c>
      <c r="E25" s="265" t="str">
        <f ca="1">IF(ROWS($1:11)&gt;COUNT(Dong5),"",IF(OFFSET(TH!J$1,SMALL(Dong5,ROWS($1:11)),)=$E$7,OFFSET(TH!K$1,SMALL(Dong5,ROWS($1:11)),),OFFSET(TH!J$1,SMALL(Dong5,ROWS($1:11)),)))</f>
        <v/>
      </c>
      <c r="F25" s="354">
        <f ca="1">IF(ROWS($1:11)&gt;COUNT(Dong5),0,IF(OFFSET(TH!J$1,SMALL(Dong5,ROWS($1:11)),)=$E$7,OFFSET(TH!I$1,SMALL(Dong5,ROWS($1:11)),),0))</f>
        <v>0</v>
      </c>
      <c r="G25" s="353">
        <f ca="1">IF(ROWS($1:11)&gt;COUNT(Dong5),0,IF(OFFSET(TH!K$1,SMALL(Dong5,ROWS($1:11)),)=$E$7,OFFSET(TH!I$1,SMALL(Dong5,ROWS($1:11)),),0))</f>
        <v>0</v>
      </c>
      <c r="H25" s="355">
        <f t="shared" ca="1" si="0"/>
        <v>0</v>
      </c>
      <c r="I25" s="355">
        <f t="shared" ca="1" si="1"/>
        <v>0</v>
      </c>
    </row>
    <row r="26" spans="1:9" ht="16.5" customHeight="1">
      <c r="A26" s="265" t="str">
        <f ca="1">IF(ROWS($1:12)&gt;COUNT(Dong5),"",OFFSET(TH!C$1,SMALL(Dong5,ROWS($1:12)),))</f>
        <v/>
      </c>
      <c r="B26" s="265" t="str">
        <f ca="1">IF(ROWS($1:12)&gt;COUNT(Dong5),"",OFFSET(TH!D$1,SMALL(Dong5,ROWS($1:12)),))</f>
        <v/>
      </c>
      <c r="C26" s="265" t="str">
        <f ca="1">IF(ROWS($1:12)&gt;COUNT(Dong5),"",OFFSET(TH!E$1,SMALL(Dong5,ROWS($1:12)),))</f>
        <v/>
      </c>
      <c r="D26" s="276" t="str">
        <f ca="1">IF(ROWS($1:12)&gt;COUNT(Dong5),"",OFFSET(TH!F$1,SMALL(Dong5,ROWS($1:12)),))</f>
        <v/>
      </c>
      <c r="E26" s="265" t="str">
        <f ca="1">IF(ROWS($1:12)&gt;COUNT(Dong5),"",IF(OFFSET(TH!J$1,SMALL(Dong5,ROWS($1:12)),)=$E$7,OFFSET(TH!K$1,SMALL(Dong5,ROWS($1:12)),),OFFSET(TH!J$1,SMALL(Dong5,ROWS($1:12)),)))</f>
        <v/>
      </c>
      <c r="F26" s="354">
        <f ca="1">IF(ROWS($1:12)&gt;COUNT(Dong5),0,IF(OFFSET(TH!J$1,SMALL(Dong5,ROWS($1:12)),)=$E$7,OFFSET(TH!I$1,SMALL(Dong5,ROWS($1:12)),),0))</f>
        <v>0</v>
      </c>
      <c r="G26" s="353">
        <f ca="1">IF(ROWS($1:12)&gt;COUNT(Dong5),0,IF(OFFSET(TH!K$1,SMALL(Dong5,ROWS($1:12)),)=$E$7,OFFSET(TH!I$1,SMALL(Dong5,ROWS($1:12)),),0))</f>
        <v>0</v>
      </c>
      <c r="H26" s="355">
        <f t="shared" ca="1" si="0"/>
        <v>0</v>
      </c>
      <c r="I26" s="355">
        <f t="shared" ca="1" si="1"/>
        <v>0</v>
      </c>
    </row>
    <row r="27" spans="1:9" ht="16.5" customHeight="1">
      <c r="A27" s="265" t="str">
        <f ca="1">IF(ROWS($1:13)&gt;COUNT(Dong5),"",OFFSET(TH!C$1,SMALL(Dong5,ROWS($1:13)),))</f>
        <v/>
      </c>
      <c r="B27" s="265" t="str">
        <f ca="1">IF(ROWS($1:13)&gt;COUNT(Dong5),"",OFFSET(TH!D$1,SMALL(Dong5,ROWS($1:13)),))</f>
        <v/>
      </c>
      <c r="C27" s="265" t="str">
        <f ca="1">IF(ROWS($1:13)&gt;COUNT(Dong5),"",OFFSET(TH!E$1,SMALL(Dong5,ROWS($1:13)),))</f>
        <v/>
      </c>
      <c r="D27" s="276" t="str">
        <f ca="1">IF(ROWS($1:13)&gt;COUNT(Dong5),"",OFFSET(TH!F$1,SMALL(Dong5,ROWS($1:13)),))</f>
        <v/>
      </c>
      <c r="E27" s="265" t="str">
        <f ca="1">IF(ROWS($1:13)&gt;COUNT(Dong5),"",IF(OFFSET(TH!J$1,SMALL(Dong5,ROWS($1:13)),)=$E$7,OFFSET(TH!K$1,SMALL(Dong5,ROWS($1:13)),),OFFSET(TH!J$1,SMALL(Dong5,ROWS($1:13)),)))</f>
        <v/>
      </c>
      <c r="F27" s="354">
        <f ca="1">IF(ROWS($1:13)&gt;COUNT(Dong5),0,IF(OFFSET(TH!J$1,SMALL(Dong5,ROWS($1:13)),)=$E$7,OFFSET(TH!I$1,SMALL(Dong5,ROWS($1:13)),),0))</f>
        <v>0</v>
      </c>
      <c r="G27" s="353">
        <f ca="1">IF(ROWS($1:13)&gt;COUNT(Dong5),0,IF(OFFSET(TH!K$1,SMALL(Dong5,ROWS($1:13)),)=$E$7,OFFSET(TH!I$1,SMALL(Dong5,ROWS($1:13)),),0))</f>
        <v>0</v>
      </c>
      <c r="H27" s="355">
        <f t="shared" ca="1" si="0"/>
        <v>0</v>
      </c>
      <c r="I27" s="355">
        <f t="shared" ca="1" si="1"/>
        <v>0</v>
      </c>
    </row>
    <row r="28" spans="1:9" ht="16.5" customHeight="1">
      <c r="A28" s="265" t="str">
        <f ca="1">IF(ROWS($1:14)&gt;COUNT(Dong5),"",OFFSET(TH!C$1,SMALL(Dong5,ROWS($1:14)),))</f>
        <v/>
      </c>
      <c r="B28" s="265" t="str">
        <f ca="1">IF(ROWS($1:14)&gt;COUNT(Dong5),"",OFFSET(TH!D$1,SMALL(Dong5,ROWS($1:14)),))</f>
        <v/>
      </c>
      <c r="C28" s="265" t="str">
        <f ca="1">IF(ROWS($1:14)&gt;COUNT(Dong5),"",OFFSET(TH!E$1,SMALL(Dong5,ROWS($1:14)),))</f>
        <v/>
      </c>
      <c r="D28" s="276" t="str">
        <f ca="1">IF(ROWS($1:14)&gt;COUNT(Dong5),"",OFFSET(TH!F$1,SMALL(Dong5,ROWS($1:14)),))</f>
        <v/>
      </c>
      <c r="E28" s="265" t="str">
        <f ca="1">IF(ROWS($1:14)&gt;COUNT(Dong5),"",IF(OFFSET(TH!J$1,SMALL(Dong5,ROWS($1:14)),)=$E$7,OFFSET(TH!K$1,SMALL(Dong5,ROWS($1:14)),),OFFSET(TH!J$1,SMALL(Dong5,ROWS($1:14)),)))</f>
        <v/>
      </c>
      <c r="F28" s="354">
        <f ca="1">IF(ROWS($1:14)&gt;COUNT(Dong5),0,IF(OFFSET(TH!J$1,SMALL(Dong5,ROWS($1:14)),)=$E$7,OFFSET(TH!I$1,SMALL(Dong5,ROWS($1:14)),),0))</f>
        <v>0</v>
      </c>
      <c r="G28" s="353">
        <f ca="1">IF(ROWS($1:14)&gt;COUNT(Dong5),0,IF(OFFSET(TH!K$1,SMALL(Dong5,ROWS($1:14)),)=$E$7,OFFSET(TH!I$1,SMALL(Dong5,ROWS($1:14)),),0))</f>
        <v>0</v>
      </c>
      <c r="H28" s="355">
        <f t="shared" ca="1" si="0"/>
        <v>0</v>
      </c>
      <c r="I28" s="355">
        <f t="shared" ca="1" si="1"/>
        <v>0</v>
      </c>
    </row>
    <row r="29" spans="1:9" ht="16.5" customHeight="1">
      <c r="A29" s="265" t="str">
        <f ca="1">IF(ROWS($1:15)&gt;COUNT(Dong5),"",OFFSET(TH!C$1,SMALL(Dong5,ROWS($1:15)),))</f>
        <v/>
      </c>
      <c r="B29" s="265" t="str">
        <f ca="1">IF(ROWS($1:15)&gt;COUNT(Dong5),"",OFFSET(TH!D$1,SMALL(Dong5,ROWS($1:15)),))</f>
        <v/>
      </c>
      <c r="C29" s="265" t="str">
        <f ca="1">IF(ROWS($1:15)&gt;COUNT(Dong5),"",OFFSET(TH!E$1,SMALL(Dong5,ROWS($1:15)),))</f>
        <v/>
      </c>
      <c r="D29" s="276" t="str">
        <f ca="1">IF(ROWS($1:15)&gt;COUNT(Dong5),"",OFFSET(TH!F$1,SMALL(Dong5,ROWS($1:15)),))</f>
        <v/>
      </c>
      <c r="E29" s="265" t="str">
        <f ca="1">IF(ROWS($1:15)&gt;COUNT(Dong5),"",IF(OFFSET(TH!J$1,SMALL(Dong5,ROWS($1:15)),)=$E$7,OFFSET(TH!K$1,SMALL(Dong5,ROWS($1:15)),),OFFSET(TH!J$1,SMALL(Dong5,ROWS($1:15)),)))</f>
        <v/>
      </c>
      <c r="F29" s="354">
        <f ca="1">IF(ROWS($1:15)&gt;COUNT(Dong5),0,IF(OFFSET(TH!J$1,SMALL(Dong5,ROWS($1:15)),)=$E$7,OFFSET(TH!I$1,SMALL(Dong5,ROWS($1:15)),),0))</f>
        <v>0</v>
      </c>
      <c r="G29" s="353">
        <f ca="1">IF(ROWS($1:15)&gt;COUNT(Dong5),0,IF(OFFSET(TH!K$1,SMALL(Dong5,ROWS($1:15)),)=$E$7,OFFSET(TH!I$1,SMALL(Dong5,ROWS($1:15)),),0))</f>
        <v>0</v>
      </c>
      <c r="H29" s="355">
        <f t="shared" ca="1" si="0"/>
        <v>0</v>
      </c>
      <c r="I29" s="355">
        <f t="shared" ca="1" si="1"/>
        <v>0</v>
      </c>
    </row>
    <row r="30" spans="1:9" ht="16.5" customHeight="1">
      <c r="A30" s="265" t="str">
        <f ca="1">IF(ROWS($1:16)&gt;COUNT(Dong5),"",OFFSET(TH!C$1,SMALL(Dong5,ROWS($1:16)),))</f>
        <v/>
      </c>
      <c r="B30" s="265" t="str">
        <f ca="1">IF(ROWS($1:16)&gt;COUNT(Dong5),"",OFFSET(TH!D$1,SMALL(Dong5,ROWS($1:16)),))</f>
        <v/>
      </c>
      <c r="C30" s="265" t="str">
        <f ca="1">IF(ROWS($1:16)&gt;COUNT(Dong5),"",OFFSET(TH!E$1,SMALL(Dong5,ROWS($1:16)),))</f>
        <v/>
      </c>
      <c r="D30" s="276" t="str">
        <f ca="1">IF(ROWS($1:16)&gt;COUNT(Dong5),"",OFFSET(TH!F$1,SMALL(Dong5,ROWS($1:16)),))</f>
        <v/>
      </c>
      <c r="E30" s="265" t="str">
        <f ca="1">IF(ROWS($1:16)&gt;COUNT(Dong5),"",IF(OFFSET(TH!J$1,SMALL(Dong5,ROWS($1:16)),)=$E$7,OFFSET(TH!K$1,SMALL(Dong5,ROWS($1:16)),),OFFSET(TH!J$1,SMALL(Dong5,ROWS($1:16)),)))</f>
        <v/>
      </c>
      <c r="F30" s="354">
        <f ca="1">IF(ROWS($1:16)&gt;COUNT(Dong5),0,IF(OFFSET(TH!J$1,SMALL(Dong5,ROWS($1:16)),)=$E$7,OFFSET(TH!I$1,SMALL(Dong5,ROWS($1:16)),),0))</f>
        <v>0</v>
      </c>
      <c r="G30" s="353">
        <f ca="1">IF(ROWS($1:16)&gt;COUNT(Dong5),0,IF(OFFSET(TH!K$1,SMALL(Dong5,ROWS($1:16)),)=$E$7,OFFSET(TH!I$1,SMALL(Dong5,ROWS($1:16)),),0))</f>
        <v>0</v>
      </c>
      <c r="H30" s="355">
        <f t="shared" ca="1" si="0"/>
        <v>0</v>
      </c>
      <c r="I30" s="355">
        <f t="shared" ca="1" si="1"/>
        <v>0</v>
      </c>
    </row>
    <row r="31" spans="1:9" ht="16.5" customHeight="1">
      <c r="A31" s="265" t="str">
        <f ca="1">IF(ROWS($1:17)&gt;COUNT(Dong5),"",OFFSET(TH!C$1,SMALL(Dong5,ROWS($1:17)),))</f>
        <v/>
      </c>
      <c r="B31" s="265" t="str">
        <f ca="1">IF(ROWS($1:17)&gt;COUNT(Dong5),"",OFFSET(TH!D$1,SMALL(Dong5,ROWS($1:17)),))</f>
        <v/>
      </c>
      <c r="C31" s="265" t="str">
        <f ca="1">IF(ROWS($1:17)&gt;COUNT(Dong5),"",OFFSET(TH!E$1,SMALL(Dong5,ROWS($1:17)),))</f>
        <v/>
      </c>
      <c r="D31" s="276" t="str">
        <f ca="1">IF(ROWS($1:17)&gt;COUNT(Dong5),"",OFFSET(TH!F$1,SMALL(Dong5,ROWS($1:17)),))</f>
        <v/>
      </c>
      <c r="E31" s="265" t="str">
        <f ca="1">IF(ROWS($1:17)&gt;COUNT(Dong5),"",IF(OFFSET(TH!J$1,SMALL(Dong5,ROWS($1:17)),)=$E$7,OFFSET(TH!K$1,SMALL(Dong5,ROWS($1:17)),),OFFSET(TH!J$1,SMALL(Dong5,ROWS($1:17)),)))</f>
        <v/>
      </c>
      <c r="F31" s="354">
        <f ca="1">IF(ROWS($1:17)&gt;COUNT(Dong5),0,IF(OFFSET(TH!J$1,SMALL(Dong5,ROWS($1:17)),)=$E$7,OFFSET(TH!I$1,SMALL(Dong5,ROWS($1:17)),),0))</f>
        <v>0</v>
      </c>
      <c r="G31" s="353">
        <f ca="1">IF(ROWS($1:17)&gt;COUNT(Dong5),0,IF(OFFSET(TH!K$1,SMALL(Dong5,ROWS($1:17)),)=$E$7,OFFSET(TH!I$1,SMALL(Dong5,ROWS($1:17)),),0))</f>
        <v>0</v>
      </c>
      <c r="H31" s="355">
        <f t="shared" ca="1" si="0"/>
        <v>0</v>
      </c>
      <c r="I31" s="355">
        <f t="shared" ca="1" si="1"/>
        <v>0</v>
      </c>
    </row>
    <row r="32" spans="1:9" ht="16.5" customHeight="1">
      <c r="A32" s="265" t="str">
        <f ca="1">IF(ROWS($1:18)&gt;COUNT(Dong5),"",OFFSET(TH!C$1,SMALL(Dong5,ROWS($1:18)),))</f>
        <v/>
      </c>
      <c r="B32" s="265" t="str">
        <f ca="1">IF(ROWS($1:18)&gt;COUNT(Dong5),"",OFFSET(TH!D$1,SMALL(Dong5,ROWS($1:18)),))</f>
        <v/>
      </c>
      <c r="C32" s="265" t="str">
        <f ca="1">IF(ROWS($1:18)&gt;COUNT(Dong5),"",OFFSET(TH!E$1,SMALL(Dong5,ROWS($1:18)),))</f>
        <v/>
      </c>
      <c r="D32" s="276" t="str">
        <f ca="1">IF(ROWS($1:18)&gt;COUNT(Dong5),"",OFFSET(TH!F$1,SMALL(Dong5,ROWS($1:18)),))</f>
        <v/>
      </c>
      <c r="E32" s="265" t="str">
        <f ca="1">IF(ROWS($1:18)&gt;COUNT(Dong5),"",IF(OFFSET(TH!J$1,SMALL(Dong5,ROWS($1:18)),)=$E$7,OFFSET(TH!K$1,SMALL(Dong5,ROWS($1:18)),),OFFSET(TH!J$1,SMALL(Dong5,ROWS($1:18)),)))</f>
        <v/>
      </c>
      <c r="F32" s="354">
        <f ca="1">IF(ROWS($1:18)&gt;COUNT(Dong5),0,IF(OFFSET(TH!J$1,SMALL(Dong5,ROWS($1:18)),)=$E$7,OFFSET(TH!I$1,SMALL(Dong5,ROWS($1:18)),),0))</f>
        <v>0</v>
      </c>
      <c r="G32" s="353">
        <f ca="1">IF(ROWS($1:18)&gt;COUNT(Dong5),0,IF(OFFSET(TH!K$1,SMALL(Dong5,ROWS($1:18)),)=$E$7,OFFSET(TH!I$1,SMALL(Dong5,ROWS($1:18)),),0))</f>
        <v>0</v>
      </c>
      <c r="H32" s="355">
        <f t="shared" ca="1" si="0"/>
        <v>0</v>
      </c>
      <c r="I32" s="355">
        <f t="shared" ca="1" si="1"/>
        <v>0</v>
      </c>
    </row>
    <row r="33" spans="1:9" ht="16.5" customHeight="1">
      <c r="A33" s="265"/>
      <c r="B33" s="277"/>
      <c r="C33" s="265"/>
      <c r="D33" s="356"/>
      <c r="E33" s="277"/>
      <c r="F33" s="353"/>
      <c r="G33" s="353"/>
      <c r="H33" s="355"/>
      <c r="I33" s="355"/>
    </row>
    <row r="34" spans="1:9" ht="20.25" customHeight="1">
      <c r="A34" s="265"/>
      <c r="B34" s="277"/>
      <c r="C34" s="265"/>
      <c r="D34" s="357" t="s">
        <v>209</v>
      </c>
      <c r="E34" s="277" t="s">
        <v>25</v>
      </c>
      <c r="F34" s="358">
        <f ca="1">SUM(F15:F33)</f>
        <v>99608749</v>
      </c>
      <c r="G34" s="358">
        <f ca="1">SUM(G15:G33)</f>
        <v>2788444</v>
      </c>
      <c r="H34" s="358" t="s">
        <v>25</v>
      </c>
      <c r="I34" s="358" t="s">
        <v>25</v>
      </c>
    </row>
    <row r="35" spans="1:9" ht="20.25" customHeight="1">
      <c r="A35" s="359"/>
      <c r="B35" s="360"/>
      <c r="C35" s="359"/>
      <c r="D35" s="361" t="s">
        <v>12</v>
      </c>
      <c r="E35" s="360" t="s">
        <v>25</v>
      </c>
      <c r="F35" s="362" t="s">
        <v>25</v>
      </c>
      <c r="G35" s="362" t="s">
        <v>25</v>
      </c>
      <c r="H35" s="363">
        <f ca="1">MAX(H14+F34-G34-I14,0)</f>
        <v>98861505</v>
      </c>
      <c r="I35" s="363">
        <f ca="1">MAX(I14+G34-F34-H14,0)</f>
        <v>0</v>
      </c>
    </row>
    <row r="36" spans="1:9" ht="9.75" customHeight="1"/>
    <row r="37" spans="1:9">
      <c r="C37" s="273" t="s">
        <v>266</v>
      </c>
    </row>
    <row r="38" spans="1:9">
      <c r="C38" s="273" t="s">
        <v>360</v>
      </c>
    </row>
    <row r="39" spans="1:9" ht="13.5" customHeight="1">
      <c r="E39" s="503" t="s">
        <v>361</v>
      </c>
      <c r="F39" s="503"/>
      <c r="G39" s="503"/>
      <c r="H39" s="503"/>
      <c r="I39" s="503"/>
    </row>
    <row r="40" spans="1:9">
      <c r="A40" s="503" t="s">
        <v>13</v>
      </c>
      <c r="B40" s="503"/>
      <c r="C40" s="503"/>
      <c r="D40" s="503"/>
      <c r="E40" s="503" t="s">
        <v>14</v>
      </c>
      <c r="F40" s="503"/>
      <c r="G40" s="503"/>
      <c r="H40" s="503"/>
      <c r="I40" s="503"/>
    </row>
    <row r="41" spans="1:9">
      <c r="A41" s="503" t="s">
        <v>15</v>
      </c>
      <c r="B41" s="503"/>
      <c r="C41" s="503"/>
      <c r="D41" s="503"/>
      <c r="E41" s="503" t="s">
        <v>15</v>
      </c>
      <c r="F41" s="503"/>
      <c r="G41" s="503"/>
      <c r="H41" s="503"/>
      <c r="I41" s="503"/>
    </row>
    <row r="43" spans="1:9">
      <c r="D43" s="364"/>
      <c r="F43" s="365"/>
    </row>
  </sheetData>
  <mergeCells count="17"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E39:I39"/>
    <mergeCell ref="A40:D40"/>
    <mergeCell ref="E40:I40"/>
    <mergeCell ref="A41:D41"/>
    <mergeCell ref="E41:I41"/>
  </mergeCells>
  <dataValidations count="1">
    <dataValidation type="list" allowBlank="1" showInputMessage="1" showErrorMessage="1" sqref="E7">
      <formula1>"1388,2412,3334,33382,3388,4211,4212,515,635,711,811,821,911"</formula1>
    </dataValidation>
  </dataValidations>
  <printOptions horizontalCentered="1"/>
  <pageMargins left="0.5" right="0.25" top="0.5" bottom="0.5" header="0.25" footer="0.25"/>
  <pageSetup paperSize="9" scale="85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H20"/>
  <sheetViews>
    <sheetView showZeros="0" workbookViewId="0">
      <pane ySplit="3" topLeftCell="A4" activePane="bottomLeft" state="frozen"/>
      <selection pane="bottomLeft" activeCell="F21" sqref="F21"/>
    </sheetView>
  </sheetViews>
  <sheetFormatPr defaultColWidth="8" defaultRowHeight="13.5"/>
  <cols>
    <col min="1" max="1" width="5.5703125" style="279" customWidth="1"/>
    <col min="2" max="2" width="48.42578125" style="279" customWidth="1"/>
    <col min="3" max="4" width="13.140625" style="279" customWidth="1"/>
    <col min="5" max="5" width="15.28515625" style="279" bestFit="1" customWidth="1"/>
    <col min="6" max="6" width="15.5703125" style="279" customWidth="1"/>
    <col min="7" max="7" width="13.28515625" style="279" customWidth="1"/>
    <col min="8" max="8" width="13.5703125" style="279" customWidth="1"/>
    <col min="9" max="16384" width="8" style="279"/>
  </cols>
  <sheetData>
    <row r="1" spans="1:8" ht="15" customHeight="1">
      <c r="A1" s="517" t="s">
        <v>171</v>
      </c>
      <c r="B1" s="517"/>
      <c r="C1" s="517"/>
      <c r="D1" s="517"/>
      <c r="E1" s="517"/>
    </row>
    <row r="2" spans="1:8" s="10" customFormat="1" ht="14.25" customHeight="1">
      <c r="A2" s="518" t="s">
        <v>50</v>
      </c>
      <c r="B2" s="520" t="s">
        <v>51</v>
      </c>
      <c r="C2" s="515" t="s">
        <v>52</v>
      </c>
      <c r="D2" s="516"/>
      <c r="E2" s="515" t="s">
        <v>53</v>
      </c>
      <c r="F2" s="516"/>
      <c r="G2" s="515" t="s">
        <v>68</v>
      </c>
      <c r="H2" s="516"/>
    </row>
    <row r="3" spans="1:8" s="10" customFormat="1" ht="14.25" customHeight="1">
      <c r="A3" s="519"/>
      <c r="B3" s="521"/>
      <c r="C3" s="448" t="s">
        <v>69</v>
      </c>
      <c r="D3" s="448" t="s">
        <v>70</v>
      </c>
      <c r="E3" s="448" t="s">
        <v>69</v>
      </c>
      <c r="F3" s="448" t="s">
        <v>70</v>
      </c>
      <c r="G3" s="448" t="s">
        <v>69</v>
      </c>
      <c r="H3" s="448" t="s">
        <v>70</v>
      </c>
    </row>
    <row r="4" spans="1:8" s="10" customFormat="1" ht="16.5" customHeight="1">
      <c r="A4" s="6">
        <f>ROW()-3</f>
        <v>1</v>
      </c>
      <c r="B4" s="7" t="s">
        <v>54</v>
      </c>
      <c r="C4" s="8"/>
      <c r="D4" s="8"/>
      <c r="E4" s="8">
        <f t="array" ref="E4">SUM(IF("331"&amp;B4=KHN&amp;KH,TH))</f>
        <v>100760000</v>
      </c>
      <c r="F4" s="8">
        <f t="array" ref="F4">SUM(IF("331"&amp;B4=KHC&amp;KH,TH))</f>
        <v>100760000</v>
      </c>
      <c r="G4" s="97">
        <f>ROUND(MAX(C4+E4-D4-F4,0),2)</f>
        <v>0</v>
      </c>
      <c r="H4" s="97">
        <f>ROUND(MAX(D4+F4-C4-E4,0),2)</f>
        <v>0</v>
      </c>
    </row>
    <row r="5" spans="1:8" s="10" customFormat="1" ht="16.5" customHeight="1">
      <c r="A5" s="6">
        <f t="shared" ref="A5:A14" si="0">ROW()-3</f>
        <v>2</v>
      </c>
      <c r="B5" s="7" t="s">
        <v>56</v>
      </c>
      <c r="C5" s="8"/>
      <c r="D5" s="8"/>
      <c r="E5" s="8">
        <f t="array" ref="E5">SUM(IF("331"&amp;B5=KHN&amp;KH,TH))</f>
        <v>60500000</v>
      </c>
      <c r="F5" s="8">
        <f t="array" ref="F5">SUM(IF("331"&amp;B5=KHC&amp;KH,TH))</f>
        <v>60500000</v>
      </c>
      <c r="G5" s="97">
        <f>ROUND(MAX(C5+E5-D5-F5,0),2)</f>
        <v>0</v>
      </c>
      <c r="H5" s="97">
        <f>ROUND(MAX(D5+F5-C5-E5,0),2)</f>
        <v>0</v>
      </c>
    </row>
    <row r="6" spans="1:8" s="10" customFormat="1" ht="16.5" customHeight="1">
      <c r="A6" s="6">
        <f t="shared" si="0"/>
        <v>3</v>
      </c>
      <c r="B6" s="7" t="s">
        <v>71</v>
      </c>
      <c r="C6" s="8"/>
      <c r="D6" s="8"/>
      <c r="E6" s="8">
        <f t="array" ref="E6">SUM(IF("331"&amp;B6=KHN&amp;KH,TH))</f>
        <v>80000000</v>
      </c>
      <c r="F6" s="8">
        <f t="array" ref="F6">SUM(IF("331"&amp;B6=KHC&amp;KH,TH))</f>
        <v>80000000</v>
      </c>
      <c r="G6" s="97">
        <f t="shared" ref="G6" si="1">ROUND(MAX(C6+E6-D6-F6,0),2)</f>
        <v>0</v>
      </c>
      <c r="H6" s="97">
        <f t="shared" ref="H6" si="2">ROUND(MAX(D6+F6-C6-E6,0),2)</f>
        <v>0</v>
      </c>
    </row>
    <row r="7" spans="1:8" s="10" customFormat="1" ht="16.5" customHeight="1">
      <c r="A7" s="6">
        <f t="shared" si="0"/>
        <v>4</v>
      </c>
      <c r="B7" s="7" t="s">
        <v>79</v>
      </c>
      <c r="C7" s="8"/>
      <c r="D7" s="8"/>
      <c r="E7" s="8">
        <f t="array" ref="E7">SUM(IF("331"&amp;B7=KHN&amp;KH,TH))</f>
        <v>30800005</v>
      </c>
      <c r="F7" s="8">
        <f t="array" ref="F7">SUM(IF("331"&amp;B7=KHC&amp;KH,TH))</f>
        <v>30800005</v>
      </c>
      <c r="G7" s="97">
        <f t="shared" ref="G7:G14" si="3">ROUND(MAX(C7+E7-D7-F7,0),2)</f>
        <v>0</v>
      </c>
      <c r="H7" s="97">
        <f t="shared" ref="H7:H14" si="4">ROUND(MAX(D7+F7-C7-E7,0),2)</f>
        <v>0</v>
      </c>
    </row>
    <row r="8" spans="1:8" s="10" customFormat="1" ht="16.5" customHeight="1">
      <c r="A8" s="6">
        <f t="shared" si="0"/>
        <v>5</v>
      </c>
      <c r="B8" s="7" t="s">
        <v>77</v>
      </c>
      <c r="C8" s="8"/>
      <c r="D8" s="8"/>
      <c r="E8" s="8">
        <f t="array" ref="E8">SUM(IF("331"&amp;B8=KHN&amp;KH,TH))</f>
        <v>16327199</v>
      </c>
      <c r="F8" s="8">
        <f t="array" ref="F8">SUM(IF("331"&amp;B8=KHC&amp;KH,TH))</f>
        <v>16327199</v>
      </c>
      <c r="G8" s="97">
        <f t="shared" si="3"/>
        <v>0</v>
      </c>
      <c r="H8" s="97">
        <f t="shared" si="4"/>
        <v>0</v>
      </c>
    </row>
    <row r="9" spans="1:8" s="10" customFormat="1" ht="16.5" customHeight="1">
      <c r="A9" s="6">
        <f t="shared" si="0"/>
        <v>6</v>
      </c>
      <c r="B9" s="7" t="s">
        <v>57</v>
      </c>
      <c r="C9" s="8"/>
      <c r="D9" s="8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97">
        <f t="shared" si="3"/>
        <v>0</v>
      </c>
      <c r="H9" s="97">
        <f t="shared" si="4"/>
        <v>0</v>
      </c>
    </row>
    <row r="10" spans="1:8" s="10" customFormat="1" ht="16.5" customHeight="1">
      <c r="A10" s="6">
        <f t="shared" si="0"/>
        <v>7</v>
      </c>
      <c r="B10" s="7" t="s">
        <v>59</v>
      </c>
      <c r="C10" s="8"/>
      <c r="D10" s="8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97">
        <f t="shared" si="3"/>
        <v>0</v>
      </c>
      <c r="H10" s="97">
        <f t="shared" si="4"/>
        <v>0</v>
      </c>
    </row>
    <row r="11" spans="1:8" s="10" customFormat="1" ht="16.5" customHeight="1">
      <c r="A11" s="6">
        <f t="shared" si="0"/>
        <v>8</v>
      </c>
      <c r="B11" s="7" t="s">
        <v>55</v>
      </c>
      <c r="C11" s="8">
        <v>850000000</v>
      </c>
      <c r="D11" s="8"/>
      <c r="E11" s="8">
        <f t="array" ref="E11">SUM(IF("331"&amp;B11=KHN&amp;KH,TH))</f>
        <v>4300000000</v>
      </c>
      <c r="F11" s="8">
        <f t="array" ref="F11">SUM(IF("331"&amp;B11=KHC&amp;KH,TH))</f>
        <v>0</v>
      </c>
      <c r="G11" s="97">
        <f t="shared" si="3"/>
        <v>5150000000</v>
      </c>
      <c r="H11" s="97">
        <f t="shared" si="4"/>
        <v>0</v>
      </c>
    </row>
    <row r="12" spans="1:8" s="10" customFormat="1" ht="16.5" customHeight="1">
      <c r="A12" s="6">
        <f t="shared" si="0"/>
        <v>9</v>
      </c>
      <c r="B12" s="7" t="s">
        <v>74</v>
      </c>
      <c r="C12" s="8"/>
      <c r="D12" s="8"/>
      <c r="E12" s="8">
        <f t="array" ref="E12">SUM(IF("331"&amp;B12=KHN&amp;KH,TH))</f>
        <v>1252610000</v>
      </c>
      <c r="F12" s="8">
        <f t="array" ref="F12">SUM(IF("331"&amp;B12=KHC&amp;KH,TH))</f>
        <v>0</v>
      </c>
      <c r="G12" s="97">
        <f>ROUND(MAX(C12+E12-D12-F12,0),2)</f>
        <v>1252610000</v>
      </c>
      <c r="H12" s="97">
        <f>ROUND(MAX(D12+F12-C12-E12,0),2)</f>
        <v>0</v>
      </c>
    </row>
    <row r="13" spans="1:8" s="10" customFormat="1" ht="16.5" customHeight="1">
      <c r="A13" s="6">
        <f t="shared" si="0"/>
        <v>10</v>
      </c>
      <c r="B13" s="7" t="s">
        <v>58</v>
      </c>
      <c r="C13" s="8"/>
      <c r="D13" s="8"/>
      <c r="E13" s="8">
        <f t="array" ref="E13">SUM(IF("331"&amp;B13=KHN&amp;KH,TH))</f>
        <v>60000000</v>
      </c>
      <c r="F13" s="8">
        <f t="array" ref="F13">SUM(IF("331"&amp;B13=KHC&amp;KH,TH))</f>
        <v>0</v>
      </c>
      <c r="G13" s="97">
        <f t="shared" si="3"/>
        <v>60000000</v>
      </c>
      <c r="H13" s="97">
        <f t="shared" si="4"/>
        <v>0</v>
      </c>
    </row>
    <row r="14" spans="1:8" s="10" customFormat="1" ht="16.5" customHeight="1">
      <c r="A14" s="6">
        <f t="shared" si="0"/>
        <v>11</v>
      </c>
      <c r="B14" s="7" t="s">
        <v>72</v>
      </c>
      <c r="C14" s="8"/>
      <c r="D14" s="8"/>
      <c r="E14" s="8">
        <f t="array" ref="E14">SUM(IF("331"&amp;B14=KHN&amp;KH,TH))</f>
        <v>50000000</v>
      </c>
      <c r="F14" s="8">
        <f t="array" ref="F14">SUM(IF("331"&amp;B14=KHC&amp;KH,TH))</f>
        <v>0</v>
      </c>
      <c r="G14" s="97">
        <f t="shared" si="3"/>
        <v>50000000</v>
      </c>
      <c r="H14" s="97">
        <f t="shared" si="4"/>
        <v>0</v>
      </c>
    </row>
    <row r="15" spans="1:8" s="10" customFormat="1" ht="16.5" customHeight="1">
      <c r="A15" s="6"/>
      <c r="B15" s="79"/>
      <c r="C15" s="8"/>
      <c r="D15" s="8"/>
      <c r="E15" s="8"/>
      <c r="F15" s="8"/>
      <c r="G15" s="97"/>
      <c r="H15" s="97"/>
    </row>
    <row r="16" spans="1:8" s="14" customFormat="1" ht="14.25" customHeight="1">
      <c r="A16" s="11"/>
      <c r="B16" s="12" t="s">
        <v>62</v>
      </c>
      <c r="C16" s="13">
        <f t="shared" ref="C16:H16" si="5">SUM(C4:C15)</f>
        <v>850000000</v>
      </c>
      <c r="D16" s="13">
        <f t="shared" si="5"/>
        <v>0</v>
      </c>
      <c r="E16" s="13">
        <f t="shared" si="5"/>
        <v>7827334604</v>
      </c>
      <c r="F16" s="13">
        <f t="shared" si="5"/>
        <v>2164724604</v>
      </c>
      <c r="G16" s="13">
        <f t="shared" si="5"/>
        <v>6512610000</v>
      </c>
      <c r="H16" s="13">
        <f t="shared" si="5"/>
        <v>0</v>
      </c>
    </row>
    <row r="18" spans="5:6">
      <c r="E18" s="15">
        <f>CDPS!E20</f>
        <v>7827334604</v>
      </c>
      <c r="F18" s="15">
        <f>CDPS!F20</f>
        <v>2164724604</v>
      </c>
    </row>
    <row r="20" spans="5:6">
      <c r="E20" s="287">
        <f>E16-E18</f>
        <v>0</v>
      </c>
      <c r="F20" s="287">
        <f>F16-F18</f>
        <v>0</v>
      </c>
    </row>
  </sheetData>
  <mergeCells count="6">
    <mergeCell ref="G2:H2"/>
    <mergeCell ref="A1:E1"/>
    <mergeCell ref="A2:A3"/>
    <mergeCell ref="B2:B3"/>
    <mergeCell ref="C2:D2"/>
    <mergeCell ref="E2:F2"/>
  </mergeCells>
  <phoneticPr fontId="21" type="noConversion"/>
  <pageMargins left="0.16" right="0.12" top="0.16" bottom="0.15" header="0.16" footer="0.16"/>
  <pageSetup paperSize="9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J39"/>
  <sheetViews>
    <sheetView topLeftCell="D4" workbookViewId="0">
      <pane ySplit="10" topLeftCell="A14" activePane="bottomLeft" state="frozen"/>
      <selection activeCell="C17" sqref="C17"/>
      <selection pane="bottomLeft" activeCell="D24" sqref="D24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16</v>
      </c>
      <c r="B1" s="16"/>
      <c r="C1" s="16"/>
      <c r="G1" s="2"/>
      <c r="H1" s="522" t="s">
        <v>87</v>
      </c>
      <c r="I1" s="522"/>
      <c r="J1" s="522"/>
    </row>
    <row r="2" spans="1:10" s="3" customFormat="1" ht="14.25" customHeight="1">
      <c r="A2" s="1" t="s">
        <v>17</v>
      </c>
      <c r="B2" s="16"/>
      <c r="C2" s="16"/>
      <c r="G2" s="17"/>
      <c r="H2" s="523" t="s">
        <v>88</v>
      </c>
      <c r="I2" s="523"/>
      <c r="J2" s="523"/>
    </row>
    <row r="3" spans="1:10" s="3" customFormat="1" ht="14.25" customHeight="1">
      <c r="A3" s="4"/>
      <c r="B3" s="16"/>
      <c r="C3" s="16"/>
      <c r="G3" s="17"/>
      <c r="H3" s="523"/>
      <c r="I3" s="523"/>
      <c r="J3" s="523"/>
    </row>
    <row r="4" spans="1:10" s="5" customFormat="1" ht="28.5" customHeight="1">
      <c r="A4" s="531" t="s">
        <v>36</v>
      </c>
      <c r="B4" s="531"/>
      <c r="C4" s="531"/>
      <c r="D4" s="531"/>
      <c r="E4" s="531"/>
      <c r="F4" s="531"/>
      <c r="G4" s="531"/>
      <c r="H4" s="531"/>
      <c r="I4" s="531"/>
      <c r="J4" s="531"/>
    </row>
    <row r="5" spans="1:10" s="18" customFormat="1" ht="14.25" customHeight="1">
      <c r="E5" s="19" t="s">
        <v>37</v>
      </c>
    </row>
    <row r="6" spans="1:10" s="18" customFormat="1" ht="14.25" customHeight="1">
      <c r="E6" s="19" t="s">
        <v>38</v>
      </c>
    </row>
    <row r="7" spans="1:10" s="18" customFormat="1" ht="14.25" customHeight="1">
      <c r="D7" s="20" t="s">
        <v>86</v>
      </c>
      <c r="E7" s="524" t="s">
        <v>79</v>
      </c>
      <c r="F7" s="524"/>
      <c r="G7" s="524"/>
      <c r="H7" s="524"/>
    </row>
    <row r="8" spans="1:10" s="18" customFormat="1" ht="14.25" customHeight="1">
      <c r="E8" s="19" t="s">
        <v>39</v>
      </c>
    </row>
    <row r="9" spans="1:10" s="18" customFormat="1" ht="6.75" customHeight="1">
      <c r="B9" s="19"/>
      <c r="C9" s="526"/>
      <c r="D9" s="526"/>
      <c r="E9" s="526"/>
      <c r="F9" s="526"/>
      <c r="G9" s="526"/>
      <c r="H9" s="526"/>
      <c r="I9" s="526"/>
      <c r="J9" s="526"/>
    </row>
    <row r="10" spans="1:10" s="18" customFormat="1" ht="14.25" customHeight="1">
      <c r="A10" s="528" t="s">
        <v>30</v>
      </c>
      <c r="B10" s="527" t="s">
        <v>1</v>
      </c>
      <c r="C10" s="527"/>
      <c r="D10" s="528" t="s">
        <v>0</v>
      </c>
      <c r="E10" s="528" t="s">
        <v>18</v>
      </c>
      <c r="F10" s="528" t="s">
        <v>40</v>
      </c>
      <c r="G10" s="529" t="s">
        <v>31</v>
      </c>
      <c r="H10" s="530"/>
      <c r="I10" s="529" t="s">
        <v>41</v>
      </c>
      <c r="J10" s="530"/>
    </row>
    <row r="11" spans="1:10" s="18" customFormat="1" ht="24.75" customHeight="1">
      <c r="A11" s="528"/>
      <c r="B11" s="30" t="s">
        <v>19</v>
      </c>
      <c r="C11" s="30" t="s">
        <v>42</v>
      </c>
      <c r="D11" s="528"/>
      <c r="E11" s="528"/>
      <c r="F11" s="528"/>
      <c r="G11" s="30" t="s">
        <v>32</v>
      </c>
      <c r="H11" s="30" t="s">
        <v>33</v>
      </c>
      <c r="I11" s="30" t="s">
        <v>32</v>
      </c>
      <c r="J11" s="30" t="s">
        <v>33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84">
        <f>VLOOKUP($E$7,'331'!$B$4:$H$15,2,0)</f>
        <v>0</v>
      </c>
      <c r="J13" s="84">
        <f>VLOOKUP($E$7,'331'!$B$4:$H$15,3,0)</f>
        <v>0</v>
      </c>
    </row>
    <row r="14" spans="1:10" s="18" customFormat="1" ht="18" customHeight="1">
      <c r="A14" s="9">
        <f t="shared" ref="A14:A20" ca="1" si="0">IF(C14&lt;&gt;"",C14,"")</f>
        <v>41927</v>
      </c>
      <c r="B14" s="9" t="str">
        <f ca="1">IF(ROWS($1:1)&gt;COUNT(Dong),"",OFFSET(TH!D$1,SMALL(Dong,ROWS($1:1)),))</f>
        <v>CTGS</v>
      </c>
      <c r="C14" s="9">
        <f ca="1">IF(ROWS($1:1)&gt;COUNT(Dong),"",OFFSET(TH!E$1,SMALL(Dong,ROWS($1:1)),))</f>
        <v>41927</v>
      </c>
      <c r="D14" s="82" t="str">
        <f ca="1">IF(ROWS($1:1)&gt;COUNT(Dong),"",OFFSET(TH!F$1,SMALL(Dong,ROWS($1:1)),))</f>
        <v>Đá 0 x 4</v>
      </c>
      <c r="E14" s="83" t="str">
        <f ca="1">IF(ROWS($1:1)&gt;COUNT(Dong),"",IF(OFFSET(TH!J$1,SMALL(Dong,ROWS($1:1)),)="331",OFFSET(TH!K$1,SMALL(Dong,ROWS($1:1)),),OFFSET(TH!J$1,SMALL(Dong,ROWS($1:1)),)))</f>
        <v>2412</v>
      </c>
      <c r="F14" s="83"/>
      <c r="G14" s="101">
        <f ca="1">IF(ROWS($1:1)&gt;COUNT(Dong),"",IF(OFFSET(TH!J$1,SMALL(Dong,ROWS($1:1)),)="331",OFFSET(TH!I$1,SMALL(Dong,ROWS($1:1)),),0))</f>
        <v>0</v>
      </c>
      <c r="H14" s="101">
        <f ca="1">IF(ROWS($1:1)&gt;COUNT(Dong),"",IF(OFFSET(TH!K$1,SMALL(Dong,ROWS($1:1)),)="331",OFFSET(TH!I$1,SMALL(Dong,ROWS($1:1)),),0))</f>
        <v>28000005</v>
      </c>
      <c r="I14" s="25">
        <f t="shared" ref="I14:I20" ca="1" si="1">IF(D14&lt;&gt;"",MAX(I13+G14-H14-J13,0),0)</f>
        <v>0</v>
      </c>
      <c r="J14" s="25">
        <f t="shared" ref="J14:J20" ca="1" si="2">IF(D14&lt;&gt;"",MAX(J13+H14-I13-G14,0),0)</f>
        <v>28000005</v>
      </c>
    </row>
    <row r="15" spans="1:10" s="18" customFormat="1" ht="18" customHeight="1">
      <c r="A15" s="9">
        <f t="shared" ca="1" si="0"/>
        <v>41927</v>
      </c>
      <c r="B15" s="9" t="str">
        <f ca="1">IF(ROWS($1:2)&gt;COUNT(Dong),"",OFFSET(TH!D$1,SMALL(Dong,ROWS($1:2)),))</f>
        <v>CTGS</v>
      </c>
      <c r="C15" s="9">
        <f ca="1">IF(ROWS($1:2)&gt;COUNT(Dong),"",OFFSET(TH!E$1,SMALL(Dong,ROWS($1:2)),))</f>
        <v>41927</v>
      </c>
      <c r="D15" s="82" t="str">
        <f ca="1">IF(ROWS($1:2)&gt;COUNT(Dong),"",OFFSET(TH!F$1,SMALL(Dong,ROWS($1:2)),))</f>
        <v>VAT Đá 0 x 4</v>
      </c>
      <c r="E15" s="83" t="str">
        <f ca="1">IF(ROWS($1:2)&gt;COUNT(Dong),"",IF(OFFSET(TH!J$1,SMALL(Dong,ROWS($1:2)),)="331",OFFSET(TH!K$1,SMALL(Dong,ROWS($1:2)),),OFFSET(TH!J$1,SMALL(Dong,ROWS($1:2)),)))</f>
        <v>1331</v>
      </c>
      <c r="F15" s="83"/>
      <c r="G15" s="101">
        <f ca="1">IF(ROWS($1:2)&gt;COUNT(Dong),"",IF(OFFSET(TH!J$1,SMALL(Dong,ROWS($1:2)),)="331",OFFSET(TH!I$1,SMALL(Dong,ROWS($1:2)),),0))</f>
        <v>0</v>
      </c>
      <c r="H15" s="101">
        <f ca="1">IF(ROWS($1:2)&gt;COUNT(Dong),"",IF(OFFSET(TH!K$1,SMALL(Dong,ROWS($1:2)),)="331",OFFSET(TH!I$1,SMALL(Dong,ROWS($1:2)),),0))</f>
        <v>2800000</v>
      </c>
      <c r="I15" s="25">
        <f t="shared" ca="1" si="1"/>
        <v>0</v>
      </c>
      <c r="J15" s="25">
        <f t="shared" ca="1" si="2"/>
        <v>30800005</v>
      </c>
    </row>
    <row r="16" spans="1:10" s="18" customFormat="1" ht="18" customHeight="1">
      <c r="A16" s="9">
        <f t="shared" ca="1" si="0"/>
        <v>41942</v>
      </c>
      <c r="B16" s="9" t="str">
        <f ca="1">IF(ROWS($1:3)&gt;COUNT(Dong),"",OFFSET(TH!D$1,SMALL(Dong,ROWS($1:3)),))</f>
        <v>GBN</v>
      </c>
      <c r="C16" s="9">
        <f ca="1">IF(ROWS($1:3)&gt;COUNT(Dong),"",OFFSET(TH!E$1,SMALL(Dong,ROWS($1:3)),))</f>
        <v>41942</v>
      </c>
      <c r="D16" s="82" t="str">
        <f ca="1">IF(ROWS($1:3)&gt;COUNT(Dong),"",OFFSET(TH!F$1,SMALL(Dong,ROWS($1:3)),))</f>
        <v>Thanh toán tiền đá - Hồng Rõ</v>
      </c>
      <c r="E16" s="83" t="str">
        <f ca="1">IF(ROWS($1:3)&gt;COUNT(Dong),"",IF(OFFSET(TH!J$1,SMALL(Dong,ROWS($1:3)),)="331",OFFSET(TH!K$1,SMALL(Dong,ROWS($1:3)),),OFFSET(TH!J$1,SMALL(Dong,ROWS($1:3)),)))</f>
        <v>1121</v>
      </c>
      <c r="F16" s="83"/>
      <c r="G16" s="101">
        <f ca="1">IF(ROWS($1:3)&gt;COUNT(Dong),"",IF(OFFSET(TH!J$1,SMALL(Dong,ROWS($1:3)),)="331",OFFSET(TH!I$1,SMALL(Dong,ROWS($1:3)),),0))</f>
        <v>30800005</v>
      </c>
      <c r="H16" s="101">
        <f ca="1">IF(ROWS($1:3)&gt;COUNT(Dong),"",IF(OFFSET(TH!K$1,SMALL(Dong,ROWS($1:3)),)="331",OFFSET(TH!I$1,SMALL(Dong,ROWS($1:3)),),0))</f>
        <v>0</v>
      </c>
      <c r="I16" s="25">
        <f t="shared" ca="1" si="1"/>
        <v>0</v>
      </c>
      <c r="J16" s="25">
        <f t="shared" ca="1" si="2"/>
        <v>0</v>
      </c>
    </row>
    <row r="17" spans="1:10" s="18" customFormat="1" ht="18" customHeight="1">
      <c r="A17" s="9" t="str">
        <f t="shared" ca="1" si="0"/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82" t="str">
        <f ca="1">IF(ROWS($1:4)&gt;COUNT(Dong),"",OFFSET(TH!F$1,SMALL(Dong,ROWS($1:4)),))</f>
        <v/>
      </c>
      <c r="E17" s="83" t="str">
        <f ca="1">IF(ROWS($1:4)&gt;COUNT(Dong),"",IF(OFFSET(TH!J$1,SMALL(Dong,ROWS($1:4)),)="331",OFFSET(TH!K$1,SMALL(Dong,ROWS($1:4)),),OFFSET(TH!J$1,SMALL(Dong,ROWS($1:4)),)))</f>
        <v/>
      </c>
      <c r="F17" s="83"/>
      <c r="G17" s="101" t="str">
        <f ca="1">IF(ROWS($1:4)&gt;COUNT(Dong),"",IF(OFFSET(TH!J$1,SMALL(Dong,ROWS($1:4)),)="331",OFFSET(TH!I$1,SMALL(Dong,ROWS($1:4)),),0))</f>
        <v/>
      </c>
      <c r="H17" s="101" t="str">
        <f ca="1">IF(ROWS($1:4)&gt;COUNT(Dong),"",IF(OFFSET(TH!K$1,SMALL(Dong,ROWS($1:4)),)="331",OFFSET(TH!I$1,SMALL(Dong,ROWS($1:4)),),0))</f>
        <v/>
      </c>
      <c r="I17" s="25">
        <f t="shared" ca="1" si="1"/>
        <v>0</v>
      </c>
      <c r="J17" s="25">
        <f t="shared" ca="1" si="2"/>
        <v>0</v>
      </c>
    </row>
    <row r="18" spans="1:10" s="18" customFormat="1" ht="18" customHeight="1">
      <c r="A18" s="9" t="str">
        <f t="shared" ca="1" si="0"/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82" t="str">
        <f ca="1">IF(ROWS($1:5)&gt;COUNT(Dong),"",OFFSET(TH!F$1,SMALL(Dong,ROWS($1:5)),))</f>
        <v/>
      </c>
      <c r="E18" s="83" t="str">
        <f ca="1">IF(ROWS($1:5)&gt;COUNT(Dong),"",IF(OFFSET(TH!J$1,SMALL(Dong,ROWS($1:5)),)="331",OFFSET(TH!K$1,SMALL(Dong,ROWS($1:5)),),OFFSET(TH!J$1,SMALL(Dong,ROWS($1:5)),)))</f>
        <v/>
      </c>
      <c r="F18" s="83"/>
      <c r="G18" s="101" t="str">
        <f ca="1">IF(ROWS($1:5)&gt;COUNT(Dong),"",IF(OFFSET(TH!J$1,SMALL(Dong,ROWS($1:5)),)="331",OFFSET(TH!I$1,SMALL(Dong,ROWS($1:5)),),0))</f>
        <v/>
      </c>
      <c r="H18" s="101" t="str">
        <f ca="1">IF(ROWS($1:5)&gt;COUNT(Dong),"",IF(OFFSET(TH!K$1,SMALL(Dong,ROWS($1:5)),)="331",OFFSET(TH!I$1,SMALL(Dong,ROWS($1:5)),),0))</f>
        <v/>
      </c>
      <c r="I18" s="25">
        <f t="shared" ca="1" si="1"/>
        <v>0</v>
      </c>
      <c r="J18" s="25">
        <f t="shared" ca="1" si="2"/>
        <v>0</v>
      </c>
    </row>
    <row r="19" spans="1:10" s="18" customFormat="1" ht="18" customHeight="1">
      <c r="A19" s="9" t="str">
        <f t="shared" ca="1" si="0"/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82" t="str">
        <f ca="1">IF(ROWS($1:6)&gt;COUNT(Dong),"",OFFSET(TH!F$1,SMALL(Dong,ROWS($1:6)),))</f>
        <v/>
      </c>
      <c r="E19" s="83" t="str">
        <f ca="1">IF(ROWS($1:6)&gt;COUNT(Dong),"",IF(OFFSET(TH!J$1,SMALL(Dong,ROWS($1:6)),)="331",OFFSET(TH!K$1,SMALL(Dong,ROWS($1:6)),),OFFSET(TH!J$1,SMALL(Dong,ROWS($1:6)),)))</f>
        <v/>
      </c>
      <c r="F19" s="83"/>
      <c r="G19" s="101" t="str">
        <f ca="1">IF(ROWS($1:6)&gt;COUNT(Dong),"",IF(OFFSET(TH!J$1,SMALL(Dong,ROWS($1:6)),)="331",OFFSET(TH!I$1,SMALL(Dong,ROWS($1:6)),),0))</f>
        <v/>
      </c>
      <c r="H19" s="101" t="str">
        <f ca="1">IF(ROWS($1:6)&gt;COUNT(Dong),"",IF(OFFSET(TH!K$1,SMALL(Dong,ROWS($1:6)),)="331",OFFSET(TH!I$1,SMALL(Dong,ROWS($1:6)),),0))</f>
        <v/>
      </c>
      <c r="I19" s="25">
        <f t="shared" ca="1" si="1"/>
        <v>0</v>
      </c>
      <c r="J19" s="25">
        <f t="shared" ca="1" si="2"/>
        <v>0</v>
      </c>
    </row>
    <row r="20" spans="1:10" s="18" customFormat="1" ht="18" customHeight="1">
      <c r="A20" s="9" t="str">
        <f t="shared" ca="1" si="0"/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82" t="str">
        <f ca="1">IF(ROWS($1:7)&gt;COUNT(Dong),"",OFFSET(TH!F$1,SMALL(Dong,ROWS($1:7)),))</f>
        <v/>
      </c>
      <c r="E20" s="83" t="str">
        <f ca="1">IF(ROWS($1:7)&gt;COUNT(Dong),"",IF(OFFSET(TH!J$1,SMALL(Dong,ROWS($1:7)),)="331",OFFSET(TH!K$1,SMALL(Dong,ROWS($1:7)),),OFFSET(TH!J$1,SMALL(Dong,ROWS($1:7)),)))</f>
        <v/>
      </c>
      <c r="F20" s="83"/>
      <c r="G20" s="101" t="str">
        <f ca="1">IF(ROWS($1:7)&gt;COUNT(Dong),"",IF(OFFSET(TH!J$1,SMALL(Dong,ROWS($1:7)),)="331",OFFSET(TH!I$1,SMALL(Dong,ROWS($1:7)),),0))</f>
        <v/>
      </c>
      <c r="H20" s="101" t="str">
        <f ca="1">IF(ROWS($1:7)&gt;COUNT(Dong),"",IF(OFFSET(TH!K$1,SMALL(Dong,ROWS($1:7)),)="331",OFFSET(TH!I$1,SMALL(Dong,ROWS($1:7)),),0))</f>
        <v/>
      </c>
      <c r="I20" s="25">
        <f t="shared" ca="1" si="1"/>
        <v>0</v>
      </c>
      <c r="J20" s="25">
        <f t="shared" ca="1" si="2"/>
        <v>0</v>
      </c>
    </row>
    <row r="21" spans="1:10" s="18" customFormat="1" ht="18" customHeight="1">
      <c r="A21" s="9" t="str">
        <f t="shared" ref="A21:A25" ca="1" si="3">IF(C21&lt;&gt;"",C21,"")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82" t="str">
        <f ca="1">IF(ROWS($1:8)&gt;COUNT(Dong),"",OFFSET(TH!F$1,SMALL(Dong,ROWS($1:8)),))</f>
        <v/>
      </c>
      <c r="E21" s="83" t="str">
        <f ca="1">IF(ROWS($1:8)&gt;COUNT(Dong),"",IF(OFFSET(TH!J$1,SMALL(Dong,ROWS($1:8)),)="331",OFFSET(TH!K$1,SMALL(Dong,ROWS($1:8)),),OFFSET(TH!J$1,SMALL(Dong,ROWS($1:8)),)))</f>
        <v/>
      </c>
      <c r="F21" s="83"/>
      <c r="G21" s="76" t="str">
        <f ca="1">IF(ROWS($1:8)&gt;COUNT(Dong),"",IF(OFFSET(TH!J$1,SMALL(Dong,ROWS($1:8)),)="331",OFFSET(TH!I$1,SMALL(Dong,ROWS($1:8)),),0))</f>
        <v/>
      </c>
      <c r="H21" s="76" t="str">
        <f ca="1">IF(ROWS($1:8)&gt;COUNT(Dong),"",IF(OFFSET(TH!K$1,SMALL(Dong,ROWS($1:8)),)="331",OFFSET(TH!I$1,SMALL(Dong,ROWS($1:8)),),0))</f>
        <v/>
      </c>
      <c r="I21" s="25">
        <f t="shared" ref="I21:I25" ca="1" si="4">IF(D21&lt;&gt;"",MAX(I20+G21-H21-J20,0),0)</f>
        <v>0</v>
      </c>
      <c r="J21" s="25">
        <f t="shared" ref="J21:J25" ca="1" si="5">IF(D21&lt;&gt;"",MAX(J20+H21-I20-G21,0),0)</f>
        <v>0</v>
      </c>
    </row>
    <row r="22" spans="1:10" s="18" customFormat="1" ht="18" customHeight="1">
      <c r="A22" s="9" t="str">
        <f t="shared" ca="1" si="3"/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82" t="str">
        <f ca="1">IF(ROWS($1:9)&gt;COUNT(Dong),"",OFFSET(TH!F$1,SMALL(Dong,ROWS($1:9)),))</f>
        <v/>
      </c>
      <c r="E22" s="83" t="str">
        <f ca="1">IF(ROWS($1:9)&gt;COUNT(Dong),"",IF(OFFSET(TH!J$1,SMALL(Dong,ROWS($1:9)),)="331",OFFSET(TH!K$1,SMALL(Dong,ROWS($1:9)),),OFFSET(TH!J$1,SMALL(Dong,ROWS($1:9)),)))</f>
        <v/>
      </c>
      <c r="F22" s="83"/>
      <c r="G22" s="76" t="str">
        <f ca="1">IF(ROWS($1:9)&gt;COUNT(Dong),"",IF(OFFSET(TH!J$1,SMALL(Dong,ROWS($1:9)),)="331",OFFSET(TH!I$1,SMALL(Dong,ROWS($1:9)),),0))</f>
        <v/>
      </c>
      <c r="H22" s="76" t="str">
        <f ca="1">IF(ROWS($1:9)&gt;COUNT(Dong),"",IF(OFFSET(TH!K$1,SMALL(Dong,ROWS($1:9)),)="331",OFFSET(TH!I$1,SMALL(Dong,ROWS($1:9)),),0))</f>
        <v/>
      </c>
      <c r="I22" s="25">
        <f t="shared" ca="1" si="4"/>
        <v>0</v>
      </c>
      <c r="J22" s="25">
        <f t="shared" ca="1" si="5"/>
        <v>0</v>
      </c>
    </row>
    <row r="23" spans="1:10" s="18" customFormat="1" ht="18" customHeight="1">
      <c r="A23" s="9" t="str">
        <f t="shared" ca="1" si="3"/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82" t="str">
        <f ca="1">IF(ROWS($1:10)&gt;COUNT(Dong),"",OFFSET(TH!F$1,SMALL(Dong,ROWS($1:10)),))</f>
        <v/>
      </c>
      <c r="E23" s="83" t="str">
        <f ca="1">IF(ROWS($1:10)&gt;COUNT(Dong),"",IF(OFFSET(TH!J$1,SMALL(Dong,ROWS($1:10)),)="331",OFFSET(TH!K$1,SMALL(Dong,ROWS($1:10)),),OFFSET(TH!J$1,SMALL(Dong,ROWS($1:10)),)))</f>
        <v/>
      </c>
      <c r="F23" s="83"/>
      <c r="G23" s="76" t="str">
        <f ca="1">IF(ROWS($1:10)&gt;COUNT(Dong),"",IF(OFFSET(TH!J$1,SMALL(Dong,ROWS($1:10)),)="331",OFFSET(TH!I$1,SMALL(Dong,ROWS($1:10)),),0))</f>
        <v/>
      </c>
      <c r="H23" s="76" t="str">
        <f ca="1">IF(ROWS($1:10)&gt;COUNT(Dong),"",IF(OFFSET(TH!K$1,SMALL(Dong,ROWS($1:10)),)="331",OFFSET(TH!I$1,SMALL(Dong,ROWS($1:10)),),0))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t="shared" ca="1" si="3"/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82" t="str">
        <f ca="1">IF(ROWS($1:11)&gt;COUNT(Dong),"",OFFSET(TH!F$1,SMALL(Dong,ROWS($1:11)),))</f>
        <v/>
      </c>
      <c r="E24" s="83" t="str">
        <f ca="1">IF(ROWS($1:11)&gt;COUNT(Dong),"",IF(OFFSET(TH!J$1,SMALL(Dong,ROWS($1:11)),)="331",OFFSET(TH!K$1,SMALL(Dong,ROWS($1:11)),),OFFSET(TH!J$1,SMALL(Dong,ROWS($1:11)),)))</f>
        <v/>
      </c>
      <c r="F24" s="83"/>
      <c r="G24" s="76" t="str">
        <f ca="1">IF(ROWS($1:11)&gt;COUNT(Dong),"",IF(OFFSET(TH!J$1,SMALL(Dong,ROWS($1:11)),)="331",OFFSET(TH!I$1,SMALL(Dong,ROWS($1:11)),),0))</f>
        <v/>
      </c>
      <c r="H24" s="76" t="str">
        <f ca="1">IF(ROWS($1:11)&gt;COUNT(Dong),"",IF(OFFSET(TH!K$1,SMALL(Dong,ROWS($1:11)),)="331",OFFSET(TH!I$1,SMALL(Dong,ROWS($1:11)),),0))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t="shared" ca="1" si="3"/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82" t="str">
        <f ca="1">IF(ROWS($1:12)&gt;COUNT(Dong),"",OFFSET(TH!F$1,SMALL(Dong,ROWS($1:12)),))</f>
        <v/>
      </c>
      <c r="E25" s="83" t="str">
        <f ca="1">IF(ROWS($1:12)&gt;COUNT(Dong),"",IF(OFFSET(TH!J$1,SMALL(Dong,ROWS($1:12)),)="331",OFFSET(TH!K$1,SMALL(Dong,ROWS($1:12)),),OFFSET(TH!J$1,SMALL(Dong,ROWS($1:12)),)))</f>
        <v/>
      </c>
      <c r="F25" s="83"/>
      <c r="G25" s="76" t="str">
        <f ca="1">IF(ROWS($1:12)&gt;COUNT(Dong),"",IF(OFFSET(TH!J$1,SMALL(Dong,ROWS($1:12)),)="331",OFFSET(TH!I$1,SMALL(Dong,ROWS($1:12)),),0))</f>
        <v/>
      </c>
      <c r="H25" s="76" t="str">
        <f ca="1">IF(ROWS($1:12)&gt;COUNT(Dong),"",IF(OFFSET(TH!K$1,SMALL(Dong,ROWS($1:12)),)="331",OFFSET(TH!I$1,SMALL(Dong,ROWS($1:12)),),0))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t="shared" ref="A26:A30" ca="1" si="6">IF(C26&lt;&gt;"",C26,"")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82" t="str">
        <f ca="1">IF(ROWS($1:13)&gt;COUNT(Dong),"",OFFSET(TH!F$1,SMALL(Dong,ROWS($1:13)),))</f>
        <v/>
      </c>
      <c r="E26" s="83" t="str">
        <f ca="1">IF(ROWS($1:13)&gt;COUNT(Dong),"",IF(OFFSET(TH!J$1,SMALL(Dong,ROWS($1:13)),)="331",OFFSET(TH!K$1,SMALL(Dong,ROWS($1:13)),),OFFSET(TH!J$1,SMALL(Dong,ROWS($1:13)),)))</f>
        <v/>
      </c>
      <c r="F26" s="83"/>
      <c r="G26" s="101" t="str">
        <f ca="1">IF(ROWS($1:13)&gt;COUNT(Dong),"",IF(OFFSET(TH!J$1,SMALL(Dong,ROWS($1:13)),)="331",OFFSET(TH!I$1,SMALL(Dong,ROWS($1:13)),),0))</f>
        <v/>
      </c>
      <c r="H26" s="101" t="str">
        <f ca="1">IF(ROWS($1:13)&gt;COUNT(Dong),"",IF(OFFSET(TH!K$1,SMALL(Dong,ROWS($1:13)),)="331",OFFSET(TH!I$1,SMALL(Dong,ROWS($1:13)),),0))</f>
        <v/>
      </c>
      <c r="I26" s="25">
        <f t="shared" ref="I26:I30" ca="1" si="7">IF(D26&lt;&gt;"",MAX(I25+G26-H26-J25,0),0)</f>
        <v>0</v>
      </c>
      <c r="J26" s="25">
        <f t="shared" ref="J26:J30" ca="1" si="8">IF(D26&lt;&gt;"",MAX(J25+H26-I25-G26,0),0)</f>
        <v>0</v>
      </c>
    </row>
    <row r="27" spans="1:10" s="18" customFormat="1" ht="18" customHeight="1">
      <c r="A27" s="9" t="str">
        <f t="shared" ca="1" si="6"/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82" t="str">
        <f ca="1">IF(ROWS($1:14)&gt;COUNT(Dong),"",OFFSET(TH!F$1,SMALL(Dong,ROWS($1:14)),))</f>
        <v/>
      </c>
      <c r="E27" s="83" t="str">
        <f ca="1">IF(ROWS($1:14)&gt;COUNT(Dong),"",IF(OFFSET(TH!J$1,SMALL(Dong,ROWS($1:14)),)="331",OFFSET(TH!K$1,SMALL(Dong,ROWS($1:14)),),OFFSET(TH!J$1,SMALL(Dong,ROWS($1:14)),)))</f>
        <v/>
      </c>
      <c r="F27" s="83"/>
      <c r="G27" s="101" t="str">
        <f ca="1">IF(ROWS($1:14)&gt;COUNT(Dong),"",IF(OFFSET(TH!J$1,SMALL(Dong,ROWS($1:14)),)="331",OFFSET(TH!I$1,SMALL(Dong,ROWS($1:14)),),0))</f>
        <v/>
      </c>
      <c r="H27" s="101" t="str">
        <f ca="1">IF(ROWS($1:14)&gt;COUNT(Dong),"",IF(OFFSET(TH!K$1,SMALL(Dong,ROWS($1:14)),)="331",OFFSET(TH!I$1,SMALL(Dong,ROWS($1:14)),),0))</f>
        <v/>
      </c>
      <c r="I27" s="25">
        <f t="shared" ca="1" si="7"/>
        <v>0</v>
      </c>
      <c r="J27" s="25">
        <f t="shared" ca="1" si="8"/>
        <v>0</v>
      </c>
    </row>
    <row r="28" spans="1:10" s="18" customFormat="1" ht="18" customHeight="1">
      <c r="A28" s="9" t="str">
        <f t="shared" ca="1" si="6"/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82" t="str">
        <f ca="1">IF(ROWS($1:15)&gt;COUNT(Dong),"",OFFSET(TH!F$1,SMALL(Dong,ROWS($1:15)),))</f>
        <v/>
      </c>
      <c r="E28" s="83" t="str">
        <f ca="1">IF(ROWS($1:15)&gt;COUNT(Dong),"",IF(OFFSET(TH!J$1,SMALL(Dong,ROWS($1:15)),)="331",OFFSET(TH!K$1,SMALL(Dong,ROWS($1:15)),),OFFSET(TH!J$1,SMALL(Dong,ROWS($1:15)),)))</f>
        <v/>
      </c>
      <c r="F28" s="83"/>
      <c r="G28" s="101" t="str">
        <f ca="1">IF(ROWS($1:15)&gt;COUNT(Dong),"",IF(OFFSET(TH!J$1,SMALL(Dong,ROWS($1:15)),)="331",OFFSET(TH!I$1,SMALL(Dong,ROWS($1:15)),),0))</f>
        <v/>
      </c>
      <c r="H28" s="101" t="str">
        <f ca="1">IF(ROWS($1:15)&gt;COUNT(Dong),"",IF(OFFSET(TH!K$1,SMALL(Dong,ROWS($1:15)),)="331",OFFSET(TH!I$1,SMALL(Dong,ROWS($1:15)),),0))</f>
        <v/>
      </c>
      <c r="I28" s="25">
        <f t="shared" ca="1" si="7"/>
        <v>0</v>
      </c>
      <c r="J28" s="25">
        <f t="shared" ca="1" si="8"/>
        <v>0</v>
      </c>
    </row>
    <row r="29" spans="1:10" s="18" customFormat="1" ht="18" customHeight="1">
      <c r="A29" s="9" t="str">
        <f t="shared" ca="1" si="6"/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82" t="str">
        <f ca="1">IF(ROWS($1:16)&gt;COUNT(Dong),"",OFFSET(TH!F$1,SMALL(Dong,ROWS($1:16)),))</f>
        <v/>
      </c>
      <c r="E29" s="83" t="str">
        <f ca="1">IF(ROWS($1:16)&gt;COUNT(Dong),"",IF(OFFSET(TH!J$1,SMALL(Dong,ROWS($1:16)),)="331",OFFSET(TH!K$1,SMALL(Dong,ROWS($1:16)),),OFFSET(TH!J$1,SMALL(Dong,ROWS($1:16)),)))</f>
        <v/>
      </c>
      <c r="F29" s="83"/>
      <c r="G29" s="101" t="str">
        <f ca="1">IF(ROWS($1:16)&gt;COUNT(Dong),"",IF(OFFSET(TH!J$1,SMALL(Dong,ROWS($1:16)),)="331",OFFSET(TH!I$1,SMALL(Dong,ROWS($1:16)),),0))</f>
        <v/>
      </c>
      <c r="H29" s="101" t="str">
        <f ca="1">IF(ROWS($1:16)&gt;COUNT(Dong),"",IF(OFFSET(TH!K$1,SMALL(Dong,ROWS($1:16)),)="331",OFFSET(TH!I$1,SMALL(Dong,ROWS($1:16)),),0))</f>
        <v/>
      </c>
      <c r="I29" s="25">
        <f t="shared" ca="1" si="7"/>
        <v>0</v>
      </c>
      <c r="J29" s="25">
        <f t="shared" ca="1" si="8"/>
        <v>0</v>
      </c>
    </row>
    <row r="30" spans="1:10" s="18" customFormat="1" ht="18" customHeight="1">
      <c r="A30" s="9" t="str">
        <f t="shared" ca="1" si="6"/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82" t="str">
        <f ca="1">IF(ROWS($1:17)&gt;COUNT(Dong),"",OFFSET(TH!F$1,SMALL(Dong,ROWS($1:17)),))</f>
        <v/>
      </c>
      <c r="E30" s="83" t="str">
        <f ca="1">IF(ROWS($1:17)&gt;COUNT(Dong),"",IF(OFFSET(TH!J$1,SMALL(Dong,ROWS($1:17)),)="331",OFFSET(TH!K$1,SMALL(Dong,ROWS($1:17)),),OFFSET(TH!J$1,SMALL(Dong,ROWS($1:17)),)))</f>
        <v/>
      </c>
      <c r="F30" s="83"/>
      <c r="G30" s="101" t="str">
        <f ca="1">IF(ROWS($1:17)&gt;COUNT(Dong),"",IF(OFFSET(TH!J$1,SMALL(Dong,ROWS($1:17)),)="331",OFFSET(TH!I$1,SMALL(Dong,ROWS($1:17)),),0))</f>
        <v/>
      </c>
      <c r="H30" s="101" t="str">
        <f ca="1">IF(ROWS($1:17)&gt;COUNT(Dong),"",IF(OFFSET(TH!K$1,SMALL(Dong,ROWS($1:17)),)="331",OFFSET(TH!I$1,SMALL(Dong,ROWS($1:17)),),0))</f>
        <v/>
      </c>
      <c r="I30" s="25">
        <f t="shared" ca="1" si="7"/>
        <v>0</v>
      </c>
      <c r="J30" s="25">
        <f t="shared" ca="1" si="8"/>
        <v>0</v>
      </c>
    </row>
    <row r="31" spans="1:10" s="18" customFormat="1" ht="18" customHeight="1">
      <c r="A31" s="24"/>
      <c r="B31" s="21"/>
      <c r="C31" s="26"/>
      <c r="D31" s="23" t="s">
        <v>46</v>
      </c>
      <c r="E31" s="21" t="s">
        <v>25</v>
      </c>
      <c r="F31" s="21" t="s">
        <v>25</v>
      </c>
      <c r="G31" s="27">
        <f ca="1">SUM(G14:G25)</f>
        <v>30800005</v>
      </c>
      <c r="H31" s="27">
        <f ca="1">SUM(H14:H25)</f>
        <v>30800005</v>
      </c>
      <c r="I31" s="27" t="s">
        <v>25</v>
      </c>
      <c r="J31" s="27" t="s">
        <v>25</v>
      </c>
    </row>
    <row r="32" spans="1:10" s="18" customFormat="1" ht="18" customHeight="1">
      <c r="A32" s="24"/>
      <c r="B32" s="21"/>
      <c r="C32" s="21"/>
      <c r="D32" s="23" t="s">
        <v>12</v>
      </c>
      <c r="E32" s="21" t="s">
        <v>25</v>
      </c>
      <c r="F32" s="21" t="s">
        <v>25</v>
      </c>
      <c r="G32" s="27" t="s">
        <v>25</v>
      </c>
      <c r="H32" s="27" t="s">
        <v>25</v>
      </c>
      <c r="I32" s="27">
        <f ca="1">MAX(I13+G31-H31-J13,0)</f>
        <v>0</v>
      </c>
      <c r="J32" s="27">
        <f ca="1">MAX(J13+H31-G31-I13,0)</f>
        <v>0</v>
      </c>
    </row>
    <row r="33" spans="1:10" s="18" customFormat="1" ht="14.25" customHeight="1">
      <c r="B33" s="19"/>
      <c r="C33" s="19"/>
      <c r="E33" s="19"/>
    </row>
    <row r="34" spans="1:10" s="18" customFormat="1" ht="14.25" customHeight="1">
      <c r="A34" s="28" t="s">
        <v>47</v>
      </c>
      <c r="B34" s="19"/>
      <c r="C34" s="19"/>
      <c r="E34" s="19"/>
    </row>
    <row r="35" spans="1:10" s="18" customFormat="1" ht="14.25" customHeight="1">
      <c r="A35" s="28" t="s">
        <v>48</v>
      </c>
      <c r="B35" s="19"/>
      <c r="C35" s="19"/>
      <c r="E35" s="19"/>
    </row>
    <row r="36" spans="1:10" s="18" customFormat="1" ht="14.25" customHeight="1">
      <c r="B36" s="19"/>
      <c r="C36" s="19"/>
      <c r="E36" s="525" t="s">
        <v>362</v>
      </c>
      <c r="F36" s="525"/>
      <c r="G36" s="525"/>
      <c r="H36" s="525"/>
      <c r="I36" s="525"/>
      <c r="J36" s="525"/>
    </row>
    <row r="37" spans="1:10" s="18" customFormat="1" ht="14.25" customHeight="1">
      <c r="A37" s="525" t="s">
        <v>13</v>
      </c>
      <c r="B37" s="525"/>
      <c r="C37" s="525"/>
      <c r="D37" s="525"/>
      <c r="E37" s="525" t="s">
        <v>14</v>
      </c>
      <c r="F37" s="525"/>
      <c r="G37" s="525"/>
      <c r="H37" s="525"/>
      <c r="I37" s="525"/>
      <c r="J37" s="525"/>
    </row>
    <row r="38" spans="1:10" s="18" customFormat="1" ht="14.25" customHeight="1">
      <c r="A38" s="525" t="s">
        <v>15</v>
      </c>
      <c r="B38" s="525"/>
      <c r="C38" s="525"/>
      <c r="D38" s="525"/>
      <c r="E38" s="525" t="s">
        <v>15</v>
      </c>
      <c r="F38" s="525"/>
      <c r="G38" s="525"/>
      <c r="H38" s="525"/>
      <c r="I38" s="525"/>
      <c r="J38" s="525"/>
    </row>
    <row r="39" spans="1:10" s="29" customFormat="1"/>
  </sheetData>
  <autoFilter ref="A12:J25"/>
  <mergeCells count="17">
    <mergeCell ref="A37:D37"/>
    <mergeCell ref="E37:J37"/>
    <mergeCell ref="A38:D38"/>
    <mergeCell ref="E38:J38"/>
    <mergeCell ref="A10:A11"/>
    <mergeCell ref="H1:J1"/>
    <mergeCell ref="H2:J3"/>
    <mergeCell ref="E7:H7"/>
    <mergeCell ref="E36:J3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00FF"/>
  </sheetPr>
  <dimension ref="A1:W60"/>
  <sheetViews>
    <sheetView workbookViewId="0">
      <pane ySplit="26" topLeftCell="A27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104" customWidth="1"/>
    <col min="2" max="2" width="5.28515625" style="104" customWidth="1"/>
    <col min="3" max="3" width="15.140625" style="104" customWidth="1"/>
    <col min="4" max="4" width="16" style="104" customWidth="1"/>
    <col min="5" max="5" width="3.85546875" style="104" customWidth="1"/>
    <col min="6" max="6" width="6" style="104" customWidth="1"/>
    <col min="7" max="8" width="6.7109375" style="104" customWidth="1"/>
    <col min="9" max="9" width="10.42578125" style="104" customWidth="1"/>
    <col min="10" max="10" width="5.85546875" style="104" customWidth="1"/>
    <col min="11" max="11" width="8.28515625" style="104" customWidth="1"/>
    <col min="12" max="12" width="5" style="104" customWidth="1"/>
    <col min="13" max="13" width="6.42578125" style="104" customWidth="1"/>
    <col min="14" max="14" width="3.140625" style="104" customWidth="1"/>
    <col min="15" max="15" width="6.42578125" style="104" customWidth="1"/>
    <col min="16" max="16" width="5" style="140" customWidth="1"/>
    <col min="17" max="17" width="6.7109375" style="104" customWidth="1"/>
    <col min="18" max="18" width="1.5703125" style="104" customWidth="1"/>
    <col min="19" max="19" width="5.7109375" style="104" customWidth="1"/>
    <col min="20" max="20" width="1.5703125" style="104" customWidth="1"/>
    <col min="21" max="21" width="5" style="104" customWidth="1"/>
    <col min="22" max="22" width="1.5703125" style="104" customWidth="1"/>
    <col min="23" max="23" width="5.5703125" style="104" customWidth="1"/>
  </cols>
  <sheetData>
    <row r="1" spans="1:23" ht="13.5" customHeight="1">
      <c r="B1" s="102" t="s">
        <v>185</v>
      </c>
      <c r="C1" s="113"/>
      <c r="D1" s="103"/>
      <c r="E1" s="103"/>
      <c r="F1" s="103"/>
      <c r="G1" s="103"/>
      <c r="I1" s="105"/>
      <c r="L1" s="106" t="str">
        <f>+IF(LEFT($U$4,1)="T","Mẫu số 01 - TT","Mẫu số 02 - TT")</f>
        <v>Mẫu số 02 - TT</v>
      </c>
      <c r="N1" s="107"/>
      <c r="O1" s="107"/>
      <c r="P1" s="108"/>
      <c r="Q1" s="109"/>
      <c r="R1" s="109"/>
      <c r="S1" s="109"/>
      <c r="T1" s="109"/>
      <c r="U1" s="109"/>
      <c r="V1" s="110"/>
      <c r="W1" s="109"/>
    </row>
    <row r="2" spans="1:23" ht="13.5" customHeight="1">
      <c r="B2" s="113" t="s">
        <v>186</v>
      </c>
      <c r="C2" s="113"/>
      <c r="D2" s="103"/>
      <c r="E2" s="103"/>
      <c r="F2" s="103"/>
      <c r="G2" s="103"/>
      <c r="H2" s="105"/>
      <c r="I2" s="105"/>
      <c r="L2" s="114" t="str">
        <f>IF($Q$4=2015,"(Ban hành theo Thông tư số 200/2014/TT-BTC ","(Ban hành kèm theo QĐ 48/2006/QĐ-BTC")</f>
        <v>(Ban hành kèm theo QĐ 48/2006/QĐ-BTC</v>
      </c>
      <c r="N2" s="115"/>
      <c r="O2" s="115"/>
      <c r="P2" s="108"/>
      <c r="Q2" s="109"/>
      <c r="R2" s="109"/>
      <c r="S2" s="109"/>
      <c r="T2" s="109"/>
      <c r="U2" s="109"/>
      <c r="V2" s="116"/>
      <c r="W2" s="117" t="s">
        <v>172</v>
      </c>
    </row>
    <row r="3" spans="1:23" ht="13.5" customHeight="1">
      <c r="B3" s="113"/>
      <c r="C3" s="103"/>
      <c r="D3" s="103"/>
      <c r="E3" s="103"/>
      <c r="G3" s="103"/>
      <c r="I3" s="118"/>
      <c r="L3" s="114" t="str">
        <f>IF($Q$4=2015,"Ngày 22/12/2014 của Bộ Tài chính)","ngày 24/09/2006 của Bộ trưởng BTC)")</f>
        <v>ngày 24/09/2006 của Bộ trưởng BTC)</v>
      </c>
      <c r="N3" s="115"/>
      <c r="O3" s="115"/>
      <c r="P3" s="119"/>
      <c r="Q3" s="117" t="s">
        <v>188</v>
      </c>
      <c r="R3" s="441"/>
      <c r="S3" s="442" t="s">
        <v>299</v>
      </c>
      <c r="T3" s="441"/>
      <c r="U3" s="442" t="s">
        <v>173</v>
      </c>
      <c r="V3" s="116"/>
      <c r="W3" s="117" t="s">
        <v>173</v>
      </c>
    </row>
    <row r="4" spans="1:23" ht="21.75">
      <c r="B4" s="113"/>
      <c r="C4" s="103"/>
      <c r="D4" s="103"/>
      <c r="E4" s="103"/>
      <c r="G4" s="120"/>
      <c r="H4" s="121" t="str">
        <f>IF(LEFT($U$4,1)="T","PHIẾU THU","PHIẾU CHI")</f>
        <v>PHIẾU CHI</v>
      </c>
      <c r="J4" s="120"/>
      <c r="K4" s="122"/>
      <c r="M4" s="122"/>
      <c r="N4" s="122"/>
      <c r="O4" s="122"/>
      <c r="P4" s="123"/>
      <c r="Q4" s="150">
        <v>2014</v>
      </c>
      <c r="R4" s="124"/>
      <c r="S4" s="440">
        <v>4</v>
      </c>
      <c r="T4" s="124"/>
      <c r="U4" s="151" t="s">
        <v>4</v>
      </c>
      <c r="V4" s="152"/>
      <c r="W4" s="153">
        <v>1</v>
      </c>
    </row>
    <row r="5" spans="1:23">
      <c r="B5" s="113"/>
      <c r="C5" s="103"/>
      <c r="D5" s="103"/>
      <c r="E5" s="103"/>
      <c r="G5" s="120"/>
      <c r="H5" s="125" t="str">
        <f>IF(ISNA(VLOOKUP($M$7,TM,3,0)),"","Ngày  "&amp;DAY(VLOOKUP($M$7,TM,3,0))&amp;"  tháng  "&amp;$S$4&amp;"  năm  "&amp;$Q$4)</f>
        <v>Ngày  17  tháng  4  năm  2014</v>
      </c>
      <c r="J5" s="120"/>
      <c r="K5" s="122"/>
      <c r="M5" s="122"/>
      <c r="N5" s="122"/>
      <c r="O5" s="122"/>
      <c r="P5" s="123"/>
      <c r="Q5" s="117"/>
      <c r="V5" s="112"/>
      <c r="W5" s="117"/>
    </row>
    <row r="6" spans="1:23" ht="13.5">
      <c r="A6" s="128"/>
      <c r="B6" s="126"/>
      <c r="C6" s="127"/>
      <c r="D6" s="127"/>
      <c r="E6" s="127"/>
      <c r="F6" s="128"/>
      <c r="G6" s="129"/>
      <c r="H6" s="129"/>
      <c r="I6" s="129"/>
      <c r="J6" s="128"/>
      <c r="K6" s="128"/>
      <c r="L6" s="130" t="s">
        <v>174</v>
      </c>
      <c r="M6" s="128"/>
      <c r="N6" s="128"/>
      <c r="O6" s="131"/>
      <c r="P6" s="132"/>
      <c r="Q6" s="128"/>
      <c r="R6" s="128"/>
      <c r="S6" s="128"/>
      <c r="T6" s="128"/>
      <c r="U6" s="128"/>
      <c r="V6" s="133"/>
      <c r="W6" s="117"/>
    </row>
    <row r="7" spans="1:23" ht="13.5" customHeight="1">
      <c r="A7" s="128"/>
      <c r="B7" s="128"/>
      <c r="C7" s="128"/>
      <c r="D7" s="128"/>
      <c r="E7" s="126"/>
      <c r="F7" s="129"/>
      <c r="G7" s="129"/>
      <c r="H7" s="129"/>
      <c r="I7" s="129"/>
      <c r="J7" s="128"/>
      <c r="K7" s="128"/>
      <c r="L7" s="134" t="str">
        <f>"Số :    "</f>
        <v xml:space="preserve">Số :    </v>
      </c>
      <c r="M7" s="135" t="str">
        <f>$U$4&amp;IF($W$4&gt;=10,$W$4,"0"&amp;$W$4)</f>
        <v>C01</v>
      </c>
      <c r="N7" s="131"/>
      <c r="O7" s="131"/>
      <c r="P7" s="132"/>
      <c r="Q7" s="128"/>
      <c r="R7" s="128"/>
      <c r="S7" s="128"/>
      <c r="T7" s="128"/>
      <c r="U7" s="128"/>
      <c r="V7" s="128"/>
      <c r="W7" s="128"/>
    </row>
    <row r="8" spans="1:23" ht="13.5">
      <c r="A8" s="128"/>
      <c r="B8" s="128"/>
      <c r="C8" s="128"/>
      <c r="D8" s="128"/>
      <c r="E8" s="126"/>
      <c r="F8" s="126"/>
      <c r="G8" s="126"/>
      <c r="H8" s="126"/>
      <c r="I8" s="126"/>
      <c r="J8" s="128"/>
      <c r="K8" s="136"/>
      <c r="L8" s="130" t="s">
        <v>175</v>
      </c>
      <c r="M8" s="137" t="str">
        <f>IF($U$4="T","1111",IF($U$4="C",IF(ISNA(VLOOKUP($M$7,TM,11,0)),"",VLOOKUP($M$7,TM,10,0)),""))</f>
        <v>3388</v>
      </c>
      <c r="N8" s="131"/>
      <c r="O8" s="131"/>
      <c r="P8" s="138"/>
      <c r="Q8" s="128"/>
      <c r="R8" s="128"/>
      <c r="S8" s="128"/>
      <c r="T8" s="128"/>
      <c r="U8" s="128"/>
      <c r="V8" s="128"/>
      <c r="W8" s="128"/>
    </row>
    <row r="9" spans="1:23" ht="13.5">
      <c r="A9" s="128"/>
      <c r="B9" s="128"/>
      <c r="C9" s="128"/>
      <c r="D9" s="128"/>
      <c r="E9" s="126"/>
      <c r="F9" s="126"/>
      <c r="G9" s="126"/>
      <c r="H9" s="126"/>
      <c r="I9" s="126"/>
      <c r="J9" s="128"/>
      <c r="K9" s="136"/>
      <c r="L9" s="134" t="s">
        <v>176</v>
      </c>
      <c r="M9" s="137" t="str">
        <f>IF($U$4="C","1111",IF($U$4="T",IF(ISNA(VLOOKUP($M$7,TM,10,0)),"",VLOOKUP($M$7,TM,11,0)),""))</f>
        <v>1111</v>
      </c>
      <c r="N9" s="131"/>
      <c r="O9" s="131"/>
      <c r="P9" s="138"/>
      <c r="Q9" s="128"/>
      <c r="R9" s="128"/>
      <c r="S9" s="128"/>
      <c r="T9" s="128"/>
      <c r="U9" s="128"/>
      <c r="V9" s="128"/>
      <c r="W9" s="128"/>
    </row>
    <row r="10" spans="1:23">
      <c r="A10" s="128"/>
      <c r="B10" s="128"/>
      <c r="C10" s="139" t="str">
        <f>IF($U$4="T","Họ tên người nộp tiền :","Họ và tên người nhận tiền :")&amp;" "&amp;IF(ISNA(VLOOKUP($M$7,TM,8,0)),"",VLOOKUP($M$7,TM,8,0))</f>
        <v>Họ và tên người nhận tiền : Cty TNHH Hải Sản An Lạc - Long An</v>
      </c>
      <c r="D10" s="126"/>
      <c r="E10" s="128"/>
      <c r="F10" s="126"/>
      <c r="G10" s="126"/>
      <c r="H10" s="126"/>
      <c r="I10" s="126"/>
      <c r="J10" s="128"/>
      <c r="K10" s="126"/>
      <c r="L10" s="134"/>
      <c r="M10" s="137"/>
      <c r="N10" s="131"/>
      <c r="O10" s="126"/>
      <c r="P10" s="132"/>
      <c r="Q10" s="128"/>
      <c r="R10" s="128"/>
      <c r="S10" s="128"/>
      <c r="T10" s="128"/>
      <c r="U10" s="128"/>
      <c r="V10" s="128"/>
      <c r="W10" s="128"/>
    </row>
    <row r="11" spans="1:23">
      <c r="C11" s="139" t="str">
        <f>"Địa chỉ :"</f>
        <v>Địa chỉ :</v>
      </c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19"/>
    </row>
    <row r="12" spans="1:23">
      <c r="C12" s="139" t="str">
        <f>IF($U$4="T","Lý do nộp :","Lý do chi :")&amp;" "&amp;IF(ISNA(VLOOKUP($M$7,TM,6,0)),"",VLOOKUP($M$7,TM,6,0))</f>
        <v>Lý do chi : Hoàn trả tiền mượn chuyển khoản</v>
      </c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</row>
    <row r="13" spans="1:23">
      <c r="C13" s="104" t="s">
        <v>193</v>
      </c>
      <c r="D13" s="141">
        <f ca="1">SUMIF(TM,$M$7,TH)</f>
        <v>25000000</v>
      </c>
      <c r="E13" s="104" t="s">
        <v>177</v>
      </c>
      <c r="F13" s="141"/>
      <c r="G13" s="141"/>
      <c r="P13" s="104"/>
    </row>
    <row r="14" spans="1:23">
      <c r="C14" s="104" t="str">
        <f ca="1">"Viết bằng chữ: " &amp;[2]!VND('IN - TC'!D13, TRUE)</f>
        <v>Viết bằng chữ: Hai mươi lăm triệu đồng</v>
      </c>
      <c r="P14" s="119"/>
    </row>
    <row r="15" spans="1:23">
      <c r="C15" s="139" t="str">
        <f>"Kèm theo :     " &amp;IF(OR(ISNA(VLOOKUP($M$7,TM,7,0)),VLOOKUP($M$7,TM,7,0)=""),"                           ","    HĐ  "&amp;(VLOOKUP($M$7,TM,7,0))) &amp; "     chứng từ gốc. "</f>
        <v xml:space="preserve">Kèm theo :                                     chứng từ gốc. </v>
      </c>
      <c r="D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42"/>
    </row>
    <row r="16" spans="1:23">
      <c r="K16" s="143"/>
      <c r="L16" s="143"/>
      <c r="M16" s="159" t="str">
        <f>H5</f>
        <v>Ngày  17  tháng  4  năm  2014</v>
      </c>
      <c r="N16" s="143"/>
      <c r="O16" s="143"/>
      <c r="P16" s="104"/>
    </row>
    <row r="17" spans="1:23">
      <c r="C17" s="144" t="s">
        <v>178</v>
      </c>
      <c r="D17" s="145"/>
      <c r="E17" s="144" t="s">
        <v>14</v>
      </c>
      <c r="F17" s="145"/>
      <c r="G17" s="145"/>
      <c r="H17" s="144" t="str">
        <f>IF($U$4="C","Thủ quỹ","Người nộp tiền")</f>
        <v>Thủ quỹ</v>
      </c>
      <c r="J17" s="144" t="s">
        <v>179</v>
      </c>
      <c r="K17" s="145"/>
      <c r="M17" s="146" t="str">
        <f>IF($U$4="T","Thủ quỹ","Người nhận tiền")</f>
        <v>Người nhận tiền</v>
      </c>
      <c r="N17" s="147"/>
      <c r="O17" s="147"/>
      <c r="P17" s="104"/>
    </row>
    <row r="18" spans="1:23">
      <c r="A18" s="145"/>
      <c r="B18" s="145"/>
      <c r="C18" s="148" t="s">
        <v>180</v>
      </c>
      <c r="E18" s="148" t="s">
        <v>181</v>
      </c>
      <c r="H18" s="148" t="s">
        <v>181</v>
      </c>
      <c r="I18" s="145"/>
      <c r="J18" s="148" t="s">
        <v>181</v>
      </c>
      <c r="L18" s="145"/>
      <c r="M18" s="148" t="s">
        <v>181</v>
      </c>
      <c r="P18" s="145"/>
      <c r="Q18" s="145"/>
      <c r="R18" s="145"/>
      <c r="S18" s="145"/>
      <c r="T18" s="145"/>
      <c r="U18" s="145"/>
      <c r="V18" s="145"/>
      <c r="W18" s="145"/>
    </row>
    <row r="19" spans="1:23">
      <c r="P19" s="104"/>
    </row>
    <row r="20" spans="1:23">
      <c r="P20" s="104"/>
    </row>
    <row r="21" spans="1:23">
      <c r="P21" s="104"/>
    </row>
    <row r="22" spans="1:23">
      <c r="I22" s="111"/>
      <c r="P22" s="104"/>
    </row>
    <row r="23" spans="1:23">
      <c r="P23" s="104"/>
    </row>
    <row r="24" spans="1:23">
      <c r="B24" s="104" t="s">
        <v>182</v>
      </c>
      <c r="P24" s="104"/>
    </row>
    <row r="25" spans="1:23">
      <c r="B25" s="139"/>
      <c r="C25" s="139" t="s">
        <v>183</v>
      </c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04"/>
    </row>
    <row r="26" spans="1:23">
      <c r="B26" s="139"/>
      <c r="C26" s="139" t="s">
        <v>184</v>
      </c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04"/>
    </row>
    <row r="45" spans="5:5">
      <c r="E45" s="149"/>
    </row>
    <row r="46" spans="5:5">
      <c r="E46" s="149"/>
    </row>
    <row r="47" spans="5:5">
      <c r="E47" s="149"/>
    </row>
    <row r="48" spans="5:5">
      <c r="E48" s="149"/>
    </row>
    <row r="49" spans="5:5">
      <c r="E49" s="149"/>
    </row>
    <row r="50" spans="5:5">
      <c r="E50" s="149"/>
    </row>
    <row r="51" spans="5:5">
      <c r="E51" s="149"/>
    </row>
    <row r="52" spans="5:5">
      <c r="E52" s="149"/>
    </row>
    <row r="53" spans="5:5">
      <c r="E53" s="149"/>
    </row>
    <row r="54" spans="5:5">
      <c r="E54" s="149"/>
    </row>
    <row r="55" spans="5:5">
      <c r="E55" s="149"/>
    </row>
    <row r="56" spans="5:5">
      <c r="E56" s="149"/>
    </row>
    <row r="57" spans="5:5">
      <c r="E57" s="149"/>
    </row>
    <row r="58" spans="5:5">
      <c r="E58" s="149"/>
    </row>
    <row r="59" spans="5:5">
      <c r="E59" s="149"/>
    </row>
    <row r="60" spans="5:5">
      <c r="E60" s="149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00FF"/>
  </sheetPr>
  <dimension ref="A1:P35"/>
  <sheetViews>
    <sheetView topLeftCell="A8" zoomScale="90" workbookViewId="0">
      <pane ySplit="4" topLeftCell="A12" activePane="bottomLeft" state="frozen"/>
      <selection activeCell="B1" sqref="B1:B2"/>
      <selection pane="bottomLeft" activeCell="L10" sqref="L10"/>
    </sheetView>
  </sheetViews>
  <sheetFormatPr defaultRowHeight="15"/>
  <cols>
    <col min="1" max="1" width="10.7109375" style="167" customWidth="1"/>
    <col min="2" max="2" width="11.5703125" style="167" customWidth="1"/>
    <col min="3" max="4" width="7.85546875" style="167" customWidth="1"/>
    <col min="5" max="5" width="34.5703125" style="167" customWidth="1"/>
    <col min="6" max="6" width="6.85546875" style="167" customWidth="1"/>
    <col min="7" max="7" width="16" style="167" customWidth="1"/>
    <col min="8" max="8" width="16.28515625" style="167" customWidth="1"/>
    <col min="9" max="9" width="15.85546875" style="167" customWidth="1"/>
    <col min="10" max="10" width="8.42578125" style="167" customWidth="1"/>
    <col min="11" max="11" width="2.140625" style="167" customWidth="1"/>
    <col min="12" max="12" width="10" style="167" customWidth="1"/>
    <col min="13" max="13" width="3.28515625" style="167" hidden="1" customWidth="1"/>
    <col min="14" max="15" width="5" style="167" hidden="1" customWidth="1"/>
    <col min="16" max="16" width="9.140625" style="167" hidden="1" customWidth="1"/>
    <col min="17" max="16384" width="9.140625" style="167"/>
  </cols>
  <sheetData>
    <row r="1" spans="1:15" s="3" customFormat="1" ht="16.5" customHeight="1">
      <c r="A1" s="194" t="s">
        <v>185</v>
      </c>
      <c r="B1" s="2"/>
      <c r="C1" s="2"/>
      <c r="D1" s="2"/>
      <c r="E1" s="2"/>
      <c r="G1" s="506" t="s">
        <v>194</v>
      </c>
      <c r="H1" s="506"/>
      <c r="I1" s="506"/>
      <c r="J1" s="506"/>
    </row>
    <row r="2" spans="1:15" s="3" customFormat="1" ht="16.5" customHeight="1">
      <c r="A2" s="139" t="s">
        <v>186</v>
      </c>
      <c r="B2" s="16"/>
      <c r="C2" s="16"/>
      <c r="D2" s="16"/>
      <c r="E2" s="16"/>
      <c r="G2" s="507" t="s">
        <v>195</v>
      </c>
      <c r="H2" s="507"/>
      <c r="I2" s="507"/>
      <c r="J2" s="507"/>
    </row>
    <row r="3" spans="1:15" s="3" customFormat="1" ht="16.5" customHeight="1">
      <c r="A3" s="4"/>
      <c r="B3" s="16"/>
      <c r="C3" s="165"/>
      <c r="D3" s="165"/>
      <c r="E3" s="16"/>
      <c r="G3" s="507"/>
      <c r="H3" s="507"/>
      <c r="I3" s="507"/>
      <c r="J3" s="507"/>
    </row>
    <row r="4" spans="1:15" s="3" customFormat="1" ht="6.75" customHeight="1">
      <c r="A4" s="16"/>
      <c r="B4" s="16"/>
      <c r="C4" s="16"/>
      <c r="D4" s="16"/>
      <c r="E4" s="16"/>
      <c r="G4" s="166"/>
      <c r="H4" s="166"/>
      <c r="I4" s="166"/>
      <c r="J4" s="166"/>
    </row>
    <row r="5" spans="1:15" ht="24.75" customHeight="1">
      <c r="A5" s="536" t="s">
        <v>196</v>
      </c>
      <c r="B5" s="536"/>
      <c r="C5" s="536"/>
      <c r="D5" s="536"/>
      <c r="E5" s="536"/>
      <c r="F5" s="536"/>
      <c r="G5" s="536"/>
      <c r="H5" s="536"/>
      <c r="I5" s="536"/>
      <c r="J5" s="536"/>
    </row>
    <row r="6" spans="1:15">
      <c r="A6" s="532" t="s">
        <v>197</v>
      </c>
      <c r="B6" s="532"/>
      <c r="C6" s="532"/>
      <c r="D6" s="532"/>
      <c r="E6" s="532"/>
      <c r="F6" s="532"/>
      <c r="G6" s="532"/>
      <c r="H6" s="532"/>
      <c r="I6" s="532"/>
      <c r="J6" s="532"/>
    </row>
    <row r="7" spans="1:15">
      <c r="A7" s="532" t="s">
        <v>198</v>
      </c>
      <c r="B7" s="532"/>
      <c r="C7" s="532"/>
      <c r="D7" s="532"/>
      <c r="E7" s="532"/>
      <c r="F7" s="532"/>
      <c r="G7" s="532"/>
      <c r="H7" s="532"/>
      <c r="I7" s="532"/>
      <c r="J7" s="532"/>
    </row>
    <row r="8" spans="1:15">
      <c r="A8" s="168"/>
      <c r="I8" s="168" t="s">
        <v>199</v>
      </c>
    </row>
    <row r="9" spans="1:15" ht="27.75" customHeight="1" thickBot="1">
      <c r="A9" s="533" t="s">
        <v>30</v>
      </c>
      <c r="B9" s="533" t="s">
        <v>200</v>
      </c>
      <c r="C9" s="535" t="s">
        <v>201</v>
      </c>
      <c r="D9" s="535"/>
      <c r="E9" s="535" t="s">
        <v>0</v>
      </c>
      <c r="F9" s="533" t="s">
        <v>18</v>
      </c>
      <c r="G9" s="535" t="s">
        <v>31</v>
      </c>
      <c r="H9" s="535"/>
      <c r="I9" s="535" t="s">
        <v>202</v>
      </c>
      <c r="J9" s="535" t="s">
        <v>203</v>
      </c>
      <c r="L9" s="195"/>
      <c r="N9" s="532" t="s">
        <v>213</v>
      </c>
      <c r="O9" s="532"/>
    </row>
    <row r="10" spans="1:15" ht="24" customHeight="1" thickBot="1">
      <c r="A10" s="534"/>
      <c r="B10" s="534"/>
      <c r="C10" s="169" t="s">
        <v>204</v>
      </c>
      <c r="D10" s="169" t="s">
        <v>205</v>
      </c>
      <c r="E10" s="535"/>
      <c r="F10" s="534"/>
      <c r="G10" s="169" t="s">
        <v>32</v>
      </c>
      <c r="H10" s="169" t="s">
        <v>33</v>
      </c>
      <c r="I10" s="535"/>
      <c r="J10" s="535"/>
      <c r="L10" s="244" t="s">
        <v>352</v>
      </c>
      <c r="N10" s="245">
        <f>IF(L10="Quý I",1,IF(L10="Quý II",4,IF(L10="Quý III",7,IF(L10="Quý IV",10,""))))</f>
        <v>7</v>
      </c>
      <c r="O10" s="246">
        <f>IF(L10="Quý I",3,IF(L10="Quý II",6,IF(L10="Quý III",9,IF(L10="Quý IV",12,""))))</f>
        <v>9</v>
      </c>
    </row>
    <row r="11" spans="1:15" s="170" customFormat="1" ht="11.25" customHeight="1">
      <c r="A11" s="171" t="s">
        <v>2</v>
      </c>
      <c r="B11" s="171" t="s">
        <v>3</v>
      </c>
      <c r="C11" s="171" t="s">
        <v>4</v>
      </c>
      <c r="D11" s="171" t="s">
        <v>5</v>
      </c>
      <c r="E11" s="171" t="s">
        <v>6</v>
      </c>
      <c r="F11" s="171" t="s">
        <v>206</v>
      </c>
      <c r="G11" s="171">
        <v>1</v>
      </c>
      <c r="H11" s="171">
        <v>2</v>
      </c>
      <c r="I11" s="171">
        <v>3</v>
      </c>
      <c r="J11" s="171" t="s">
        <v>207</v>
      </c>
    </row>
    <row r="12" spans="1:15" s="172" customFormat="1" ht="17.25" customHeight="1">
      <c r="A12" s="173"/>
      <c r="B12" s="173"/>
      <c r="C12" s="173"/>
      <c r="D12" s="173"/>
      <c r="E12" s="173" t="s">
        <v>208</v>
      </c>
      <c r="F12" s="174"/>
      <c r="G12" s="175"/>
      <c r="H12" s="173"/>
      <c r="I12" s="196">
        <f>IF($L$10="All",CDPS!$C$10,CDPS!$C$10+SUMIF(_N111,"x",TH)-SUMIF(_C111,"x",TH))</f>
        <v>2182943500</v>
      </c>
      <c r="J12" s="173"/>
    </row>
    <row r="13" spans="1:15" ht="17.25" customHeight="1">
      <c r="A13" s="176">
        <f ca="1">IF(ROWS($1:1)&gt;COUNT(Dong1),"",OFFSET(TH!C$1,SMALL(Dong1,ROWS($1:1)),))</f>
        <v>41843</v>
      </c>
      <c r="B13" s="176">
        <f ca="1">IF(ROWS($1:1)&gt;COUNT(Dong1),"",OFFSET(TH!E$1,SMALL(Dong1,ROWS($1:1)),))</f>
        <v>41843</v>
      </c>
      <c r="C13" s="177" t="str">
        <f ca="1">IF(ROWS($1:1)&gt;COUNT(Dong1),"",IF(OFFSET(TH!J$1,SMALL(Dong1,ROWS($1:1)),)="1111",OFFSET(TH!D$1,SMALL(Dong1,ROWS($1:1)),),""))</f>
        <v/>
      </c>
      <c r="D13" s="178" t="str">
        <f ca="1">IF(ROWS($1:1)&gt;COUNT(Dong1),"",IF(OFFSET(TH!K$1,SMALL(Dong1,ROWS($1:1)),)="1111",OFFSET(TH!D$1,SMALL(Dong1,ROWS($1:1)),),""))</f>
        <v>C01</v>
      </c>
      <c r="E13" s="179" t="str">
        <f ca="1">IF(ROWS($1:1)&gt;COUNT(Dong1),"",OFFSET(TH!F$1,SMALL(Dong1,ROWS($1:1)),))</f>
        <v>Nộp tiền mặt vào tài khoản ngân hàng</v>
      </c>
      <c r="F13" s="180" t="str">
        <f ca="1">IF(ROWS($1:1)&gt;COUNT(Dong1),"",IF(OFFSET(TH!K$1,SMALL(Dong1,ROWS($1:1)),)="1111",OFFSET(TH!J$1,SMALL(Dong1,ROWS($1:1)),),OFFSET(TH!K$1,SMALL(Dong1,ROWS($1:1)),)))</f>
        <v>1121</v>
      </c>
      <c r="G13" s="181">
        <f ca="1">IF(ROWS($1:1)&gt;COUNT(Dong1),"",IF(OFFSET(TH!J$1,SMALL(Dong1,ROWS($1:1)),)="1111",OFFSET(TH!I$1,SMALL(Dong1,ROWS($1:1)),),0))</f>
        <v>0</v>
      </c>
      <c r="H13" s="179">
        <f ca="1">IF(ROWS($1:1)&gt;COUNT(Dong1),"",IF(OFFSET(TH!K$1,SMALL(Dong1,ROWS($1:1)),)="1111",OFFSET(TH!I$1,SMALL(Dong1,ROWS($1:1)),),0))</f>
        <v>20000000</v>
      </c>
      <c r="I13" s="177">
        <f t="shared" ref="I13:I25" ca="1" si="0">IF(E13&lt;&gt;"",I12+G13-H13,0)</f>
        <v>2162943500</v>
      </c>
      <c r="J13" s="182"/>
    </row>
    <row r="14" spans="1:15" ht="17.25" customHeight="1">
      <c r="A14" s="176">
        <f ca="1">IF(ROWS($1:2)&gt;COUNT(Dong1),"",OFFSET(TH!C$1,SMALL(Dong1,ROWS($1:2)),))</f>
        <v>41851</v>
      </c>
      <c r="B14" s="176">
        <f ca="1">IF(ROWS($1:2)&gt;COUNT(Dong1),"",OFFSET(TH!E$1,SMALL(Dong1,ROWS($1:2)),))</f>
        <v>41851</v>
      </c>
      <c r="C14" s="177" t="str">
        <f ca="1">IF(ROWS($1:2)&gt;COUNT(Dong1),"",IF(OFFSET(TH!J$1,SMALL(Dong1,ROWS($1:2)),)="1111",OFFSET(TH!D$1,SMALL(Dong1,ROWS($1:2)),),""))</f>
        <v/>
      </c>
      <c r="D14" s="178" t="str">
        <f ca="1">IF(ROWS($1:2)&gt;COUNT(Dong1),"",IF(OFFSET(TH!K$1,SMALL(Dong1,ROWS($1:2)),)="1111",OFFSET(TH!D$1,SMALL(Dong1,ROWS($1:2)),),""))</f>
        <v>C02</v>
      </c>
      <c r="E14" s="179" t="str">
        <f ca="1">IF(ROWS($1:2)&gt;COUNT(Dong1),"",OFFSET(TH!F$1,SMALL(Dong1,ROWS($1:2)),))</f>
        <v>Hoàn trả tiền mượn chuyển khoản</v>
      </c>
      <c r="F14" s="180" t="str">
        <f ca="1">IF(ROWS($1:2)&gt;COUNT(Dong1),"",IF(OFFSET(TH!K$1,SMALL(Dong1,ROWS($1:2)),)="1111",OFFSET(TH!J$1,SMALL(Dong1,ROWS($1:2)),),OFFSET(TH!K$1,SMALL(Dong1,ROWS($1:2)),)))</f>
        <v>3388</v>
      </c>
      <c r="G14" s="181">
        <f ca="1">IF(ROWS($1:2)&gt;COUNT(Dong1),"",IF(OFFSET(TH!J$1,SMALL(Dong1,ROWS($1:2)),)="1111",OFFSET(TH!I$1,SMALL(Dong1,ROWS($1:2)),),0))</f>
        <v>0</v>
      </c>
      <c r="H14" s="179">
        <f ca="1">IF(ROWS($1:2)&gt;COUNT(Dong1),"",IF(OFFSET(TH!K$1,SMALL(Dong1,ROWS($1:2)),)="1111",OFFSET(TH!I$1,SMALL(Dong1,ROWS($1:2)),),0))</f>
        <v>50000000</v>
      </c>
      <c r="I14" s="177">
        <f t="shared" ca="1" si="0"/>
        <v>2112943500</v>
      </c>
      <c r="J14" s="182"/>
    </row>
    <row r="15" spans="1:15" ht="17.25" customHeight="1">
      <c r="A15" s="176">
        <f ca="1">IF(ROWS($1:3)&gt;COUNT(Dong1),"",OFFSET(TH!C$1,SMALL(Dong1,ROWS($1:3)),))</f>
        <v>41857</v>
      </c>
      <c r="B15" s="176">
        <f ca="1">IF(ROWS($1:3)&gt;COUNT(Dong1),"",OFFSET(TH!E$1,SMALL(Dong1,ROWS($1:3)),))</f>
        <v>41857</v>
      </c>
      <c r="C15" s="177" t="str">
        <f ca="1">IF(ROWS($1:3)&gt;COUNT(Dong1),"",IF(OFFSET(TH!J$1,SMALL(Dong1,ROWS($1:3)),)="1111",OFFSET(TH!D$1,SMALL(Dong1,ROWS($1:3)),),""))</f>
        <v/>
      </c>
      <c r="D15" s="178" t="str">
        <f ca="1">IF(ROWS($1:3)&gt;COUNT(Dong1),"",IF(OFFSET(TH!K$1,SMALL(Dong1,ROWS($1:3)),)="1111",OFFSET(TH!D$1,SMALL(Dong1,ROWS($1:3)),),""))</f>
        <v>C03</v>
      </c>
      <c r="E15" s="179" t="str">
        <f ca="1">IF(ROWS($1:3)&gt;COUNT(Dong1),"",OFFSET(TH!F$1,SMALL(Dong1,ROWS($1:3)),))</f>
        <v>Hoàn trả tiền mượn chuyển khoản</v>
      </c>
      <c r="F15" s="180" t="str">
        <f ca="1">IF(ROWS($1:3)&gt;COUNT(Dong1),"",IF(OFFSET(TH!K$1,SMALL(Dong1,ROWS($1:3)),)="1111",OFFSET(TH!J$1,SMALL(Dong1,ROWS($1:3)),),OFFSET(TH!K$1,SMALL(Dong1,ROWS($1:3)),)))</f>
        <v>3388</v>
      </c>
      <c r="G15" s="181">
        <f ca="1">IF(ROWS($1:3)&gt;COUNT(Dong1),"",IF(OFFSET(TH!J$1,SMALL(Dong1,ROWS($1:3)),)="1111",OFFSET(TH!I$1,SMALL(Dong1,ROWS($1:3)),),0))</f>
        <v>0</v>
      </c>
      <c r="H15" s="179">
        <f ca="1">IF(ROWS($1:3)&gt;COUNT(Dong1),"",IF(OFFSET(TH!K$1,SMALL(Dong1,ROWS($1:3)),)="1111",OFFSET(TH!I$1,SMALL(Dong1,ROWS($1:3)),),0))</f>
        <v>50000000</v>
      </c>
      <c r="I15" s="177">
        <f t="shared" ca="1" si="0"/>
        <v>2062943500</v>
      </c>
      <c r="J15" s="182"/>
    </row>
    <row r="16" spans="1:15" ht="17.25" customHeight="1">
      <c r="A16" s="176">
        <f ca="1">IF(ROWS($1:4)&gt;COUNT(Dong1),"",OFFSET(TH!C$1,SMALL(Dong1,ROWS($1:4)),))</f>
        <v>41865</v>
      </c>
      <c r="B16" s="176">
        <f ca="1">IF(ROWS($1:4)&gt;COUNT(Dong1),"",OFFSET(TH!E$1,SMALL(Dong1,ROWS($1:4)),))</f>
        <v>41865</v>
      </c>
      <c r="C16" s="177" t="str">
        <f ca="1">IF(ROWS($1:4)&gt;COUNT(Dong1),"",IF(OFFSET(TH!J$1,SMALL(Dong1,ROWS($1:4)),)="1111",OFFSET(TH!D$1,SMALL(Dong1,ROWS($1:4)),),""))</f>
        <v/>
      </c>
      <c r="D16" s="178" t="str">
        <f ca="1">IF(ROWS($1:4)&gt;COUNT(Dong1),"",IF(OFFSET(TH!K$1,SMALL(Dong1,ROWS($1:4)),)="1111",OFFSET(TH!D$1,SMALL(Dong1,ROWS($1:4)),),""))</f>
        <v>C04</v>
      </c>
      <c r="E16" s="179" t="str">
        <f ca="1">IF(ROWS($1:4)&gt;COUNT(Dong1),"",OFFSET(TH!F$1,SMALL(Dong1,ROWS($1:4)),))</f>
        <v>Nộp tiền mặt vào tài khoản ngân hàng</v>
      </c>
      <c r="F16" s="180" t="str">
        <f ca="1">IF(ROWS($1:4)&gt;COUNT(Dong1),"",IF(OFFSET(TH!K$1,SMALL(Dong1,ROWS($1:4)),)="1111",OFFSET(TH!J$1,SMALL(Dong1,ROWS($1:4)),),OFFSET(TH!K$1,SMALL(Dong1,ROWS($1:4)),)))</f>
        <v>1121</v>
      </c>
      <c r="G16" s="181">
        <f ca="1">IF(ROWS($1:4)&gt;COUNT(Dong1),"",IF(OFFSET(TH!J$1,SMALL(Dong1,ROWS($1:4)),)="1111",OFFSET(TH!I$1,SMALL(Dong1,ROWS($1:4)),),0))</f>
        <v>0</v>
      </c>
      <c r="H16" s="179">
        <f ca="1">IF(ROWS($1:4)&gt;COUNT(Dong1),"",IF(OFFSET(TH!K$1,SMALL(Dong1,ROWS($1:4)),)="1111",OFFSET(TH!I$1,SMALL(Dong1,ROWS($1:4)),),0))</f>
        <v>253000000</v>
      </c>
      <c r="I16" s="177">
        <f t="shared" ca="1" si="0"/>
        <v>1809943500</v>
      </c>
      <c r="J16" s="182"/>
    </row>
    <row r="17" spans="1:10" ht="17.25" customHeight="1">
      <c r="A17" s="176">
        <f ca="1">IF(ROWS($1:5)&gt;COUNT(Dong1),"",OFFSET(TH!C$1,SMALL(Dong1,ROWS($1:5)),))</f>
        <v>41905</v>
      </c>
      <c r="B17" s="176">
        <f ca="1">IF(ROWS($1:5)&gt;COUNT(Dong1),"",OFFSET(TH!E$1,SMALL(Dong1,ROWS($1:5)),))</f>
        <v>41905</v>
      </c>
      <c r="C17" s="177" t="str">
        <f ca="1">IF(ROWS($1:5)&gt;COUNT(Dong1),"",IF(OFFSET(TH!J$1,SMALL(Dong1,ROWS($1:5)),)="1111",OFFSET(TH!D$1,SMALL(Dong1,ROWS($1:5)),),""))</f>
        <v/>
      </c>
      <c r="D17" s="178" t="str">
        <f ca="1">IF(ROWS($1:5)&gt;COUNT(Dong1),"",IF(OFFSET(TH!K$1,SMALL(Dong1,ROWS($1:5)),)="1111",OFFSET(TH!D$1,SMALL(Dong1,ROWS($1:5)),),""))</f>
        <v>C15</v>
      </c>
      <c r="E17" s="179" t="str">
        <f ca="1">IF(ROWS($1:5)&gt;COUNT(Dong1),"",OFFSET(TH!F$1,SMALL(Dong1,ROWS($1:5)),))</f>
        <v>Hoàn trả tiền mượn chuyển khoản</v>
      </c>
      <c r="F17" s="180" t="str">
        <f ca="1">IF(ROWS($1:5)&gt;COUNT(Dong1),"",IF(OFFSET(TH!K$1,SMALL(Dong1,ROWS($1:5)),)="1111",OFFSET(TH!J$1,SMALL(Dong1,ROWS($1:5)),),OFFSET(TH!K$1,SMALL(Dong1,ROWS($1:5)),)))</f>
        <v>3388</v>
      </c>
      <c r="G17" s="181">
        <f ca="1">IF(ROWS($1:5)&gt;COUNT(Dong1),"",IF(OFFSET(TH!J$1,SMALL(Dong1,ROWS($1:5)),)="1111",OFFSET(TH!I$1,SMALL(Dong1,ROWS($1:5)),),0))</f>
        <v>0</v>
      </c>
      <c r="H17" s="179">
        <f ca="1">IF(ROWS($1:5)&gt;COUNT(Dong1),"",IF(OFFSET(TH!K$1,SMALL(Dong1,ROWS($1:5)),)="1111",OFFSET(TH!I$1,SMALL(Dong1,ROWS($1:5)),),0))</f>
        <v>9000000</v>
      </c>
      <c r="I17" s="177">
        <f t="shared" ca="1" si="0"/>
        <v>1800943500</v>
      </c>
      <c r="J17" s="182"/>
    </row>
    <row r="18" spans="1:10" ht="17.25" customHeight="1">
      <c r="A18" s="176" t="str">
        <f ca="1">IF(ROWS($1:6)&gt;COUNT(Dong1),"",OFFSET(TH!C$1,SMALL(Dong1,ROWS($1:6)),))</f>
        <v/>
      </c>
      <c r="B18" s="176" t="str">
        <f ca="1">IF(ROWS($1:6)&gt;COUNT(Dong1),"",OFFSET(TH!E$1,SMALL(Dong1,ROWS($1:6)),))</f>
        <v/>
      </c>
      <c r="C18" s="177" t="str">
        <f ca="1">IF(ROWS($1:6)&gt;COUNT(Dong1),"",IF(OFFSET(TH!J$1,SMALL(Dong1,ROWS($1:6)),)="1111",OFFSET(TH!D$1,SMALL(Dong1,ROWS($1:6)),),""))</f>
        <v/>
      </c>
      <c r="D18" s="178" t="str">
        <f ca="1">IF(ROWS($1:6)&gt;COUNT(Dong1),"",IF(OFFSET(TH!K$1,SMALL(Dong1,ROWS($1:6)),)="1111",OFFSET(TH!D$1,SMALL(Dong1,ROWS($1:6)),),""))</f>
        <v/>
      </c>
      <c r="E18" s="179" t="str">
        <f ca="1">IF(ROWS($1:6)&gt;COUNT(Dong1),"",OFFSET(TH!F$1,SMALL(Dong1,ROWS($1:6)),))</f>
        <v/>
      </c>
      <c r="F18" s="180" t="str">
        <f ca="1">IF(ROWS($1:6)&gt;COUNT(Dong1),"",IF(OFFSET(TH!K$1,SMALL(Dong1,ROWS($1:6)),)="1111",OFFSET(TH!J$1,SMALL(Dong1,ROWS($1:6)),),OFFSET(TH!K$1,SMALL(Dong1,ROWS($1:6)),)))</f>
        <v/>
      </c>
      <c r="G18" s="181" t="str">
        <f ca="1">IF(ROWS($1:6)&gt;COUNT(Dong1),"",IF(OFFSET(TH!J$1,SMALL(Dong1,ROWS($1:6)),)="1111",OFFSET(TH!I$1,SMALL(Dong1,ROWS($1:6)),),0))</f>
        <v/>
      </c>
      <c r="H18" s="179" t="str">
        <f ca="1">IF(ROWS($1:6)&gt;COUNT(Dong1),"",IF(OFFSET(TH!K$1,SMALL(Dong1,ROWS($1:6)),)="1111",OFFSET(TH!I$1,SMALL(Dong1,ROWS($1:6)),),0))</f>
        <v/>
      </c>
      <c r="I18" s="177">
        <f t="shared" ca="1" si="0"/>
        <v>0</v>
      </c>
      <c r="J18" s="182"/>
    </row>
    <row r="19" spans="1:10" ht="17.25" customHeight="1">
      <c r="A19" s="176" t="str">
        <f ca="1">IF(ROWS($1:7)&gt;COUNT(Dong1),"",OFFSET(TH!C$1,SMALL(Dong1,ROWS($1:7)),))</f>
        <v/>
      </c>
      <c r="B19" s="176" t="str">
        <f ca="1">IF(ROWS($1:7)&gt;COUNT(Dong1),"",OFFSET(TH!E$1,SMALL(Dong1,ROWS($1:7)),))</f>
        <v/>
      </c>
      <c r="C19" s="177" t="str">
        <f ca="1">IF(ROWS($1:7)&gt;COUNT(Dong1),"",IF(OFFSET(TH!J$1,SMALL(Dong1,ROWS($1:7)),)="1111",OFFSET(TH!D$1,SMALL(Dong1,ROWS($1:7)),),""))</f>
        <v/>
      </c>
      <c r="D19" s="178" t="str">
        <f ca="1">IF(ROWS($1:7)&gt;COUNT(Dong1),"",IF(OFFSET(TH!K$1,SMALL(Dong1,ROWS($1:7)),)="1111",OFFSET(TH!D$1,SMALL(Dong1,ROWS($1:7)),),""))</f>
        <v/>
      </c>
      <c r="E19" s="179" t="str">
        <f ca="1">IF(ROWS($1:7)&gt;COUNT(Dong1),"",OFFSET(TH!F$1,SMALL(Dong1,ROWS($1:7)),))</f>
        <v/>
      </c>
      <c r="F19" s="180" t="str">
        <f ca="1">IF(ROWS($1:7)&gt;COUNT(Dong1),"",IF(OFFSET(TH!K$1,SMALL(Dong1,ROWS($1:7)),)="1111",OFFSET(TH!J$1,SMALL(Dong1,ROWS($1:7)),),OFFSET(TH!K$1,SMALL(Dong1,ROWS($1:7)),)))</f>
        <v/>
      </c>
      <c r="G19" s="181" t="str">
        <f ca="1">IF(ROWS($1:7)&gt;COUNT(Dong1),"",IF(OFFSET(TH!J$1,SMALL(Dong1,ROWS($1:7)),)="1111",OFFSET(TH!I$1,SMALL(Dong1,ROWS($1:7)),),0))</f>
        <v/>
      </c>
      <c r="H19" s="179" t="str">
        <f ca="1">IF(ROWS($1:7)&gt;COUNT(Dong1),"",IF(OFFSET(TH!K$1,SMALL(Dong1,ROWS($1:7)),)="1111",OFFSET(TH!I$1,SMALL(Dong1,ROWS($1:7)),),0))</f>
        <v/>
      </c>
      <c r="I19" s="177">
        <f t="shared" ca="1" si="0"/>
        <v>0</v>
      </c>
      <c r="J19" s="182"/>
    </row>
    <row r="20" spans="1:10" ht="17.25" customHeight="1">
      <c r="A20" s="176" t="str">
        <f ca="1">IF(ROWS($1:8)&gt;COUNT(Dong1),"",OFFSET(TH!C$1,SMALL(Dong1,ROWS($1:8)),))</f>
        <v/>
      </c>
      <c r="B20" s="176" t="str">
        <f ca="1">IF(ROWS($1:8)&gt;COUNT(Dong1),"",OFFSET(TH!E$1,SMALL(Dong1,ROWS($1:8)),))</f>
        <v/>
      </c>
      <c r="C20" s="177" t="str">
        <f ca="1">IF(ROWS($1:8)&gt;COUNT(Dong1),"",IF(OFFSET(TH!J$1,SMALL(Dong1,ROWS($1:8)),)="1111",OFFSET(TH!D$1,SMALL(Dong1,ROWS($1:8)),),""))</f>
        <v/>
      </c>
      <c r="D20" s="178" t="str">
        <f ca="1">IF(ROWS($1:8)&gt;COUNT(Dong1),"",IF(OFFSET(TH!K$1,SMALL(Dong1,ROWS($1:8)),)="1111",OFFSET(TH!D$1,SMALL(Dong1,ROWS($1:8)),),""))</f>
        <v/>
      </c>
      <c r="E20" s="179" t="str">
        <f ca="1">IF(ROWS($1:8)&gt;COUNT(Dong1),"",OFFSET(TH!F$1,SMALL(Dong1,ROWS($1:8)),))</f>
        <v/>
      </c>
      <c r="F20" s="180" t="str">
        <f ca="1">IF(ROWS($1:8)&gt;COUNT(Dong1),"",IF(OFFSET(TH!K$1,SMALL(Dong1,ROWS($1:8)),)="1111",OFFSET(TH!J$1,SMALL(Dong1,ROWS($1:8)),),OFFSET(TH!K$1,SMALL(Dong1,ROWS($1:8)),)))</f>
        <v/>
      </c>
      <c r="G20" s="181" t="str">
        <f ca="1">IF(ROWS($1:8)&gt;COUNT(Dong1),"",IF(OFFSET(TH!J$1,SMALL(Dong1,ROWS($1:8)),)="1111",OFFSET(TH!I$1,SMALL(Dong1,ROWS($1:8)),),0))</f>
        <v/>
      </c>
      <c r="H20" s="179" t="str">
        <f ca="1">IF(ROWS($1:8)&gt;COUNT(Dong1),"",IF(OFFSET(TH!K$1,SMALL(Dong1,ROWS($1:8)),)="1111",OFFSET(TH!I$1,SMALL(Dong1,ROWS($1:8)),),0))</f>
        <v/>
      </c>
      <c r="I20" s="177">
        <f t="shared" ca="1" si="0"/>
        <v>0</v>
      </c>
      <c r="J20" s="182"/>
    </row>
    <row r="21" spans="1:10" ht="17.25" customHeight="1">
      <c r="A21" s="176" t="str">
        <f ca="1">IF(ROWS($1:9)&gt;COUNT(Dong1),"",OFFSET(TH!C$1,SMALL(Dong1,ROWS($1:9)),))</f>
        <v/>
      </c>
      <c r="B21" s="176" t="str">
        <f ca="1">IF(ROWS($1:9)&gt;COUNT(Dong1),"",OFFSET(TH!E$1,SMALL(Dong1,ROWS($1:9)),))</f>
        <v/>
      </c>
      <c r="C21" s="177" t="str">
        <f ca="1">IF(ROWS($1:9)&gt;COUNT(Dong1),"",IF(OFFSET(TH!J$1,SMALL(Dong1,ROWS($1:9)),)="1111",OFFSET(TH!D$1,SMALL(Dong1,ROWS($1:9)),),""))</f>
        <v/>
      </c>
      <c r="D21" s="178" t="str">
        <f ca="1">IF(ROWS($1:9)&gt;COUNT(Dong1),"",IF(OFFSET(TH!K$1,SMALL(Dong1,ROWS($1:9)),)="1111",OFFSET(TH!D$1,SMALL(Dong1,ROWS($1:9)),),""))</f>
        <v/>
      </c>
      <c r="E21" s="179" t="str">
        <f ca="1">IF(ROWS($1:9)&gt;COUNT(Dong1),"",OFFSET(TH!F$1,SMALL(Dong1,ROWS($1:9)),))</f>
        <v/>
      </c>
      <c r="F21" s="180" t="str">
        <f ca="1">IF(ROWS($1:9)&gt;COUNT(Dong1),"",IF(OFFSET(TH!K$1,SMALL(Dong1,ROWS($1:9)),)="1111",OFFSET(TH!J$1,SMALL(Dong1,ROWS($1:9)),),OFFSET(TH!K$1,SMALL(Dong1,ROWS($1:9)),)))</f>
        <v/>
      </c>
      <c r="G21" s="181" t="str">
        <f ca="1">IF(ROWS($1:9)&gt;COUNT(Dong1),"",IF(OFFSET(TH!J$1,SMALL(Dong1,ROWS($1:9)),)="1111",OFFSET(TH!I$1,SMALL(Dong1,ROWS($1:9)),),0))</f>
        <v/>
      </c>
      <c r="H21" s="179" t="str">
        <f ca="1">IF(ROWS($1:9)&gt;COUNT(Dong1),"",IF(OFFSET(TH!K$1,SMALL(Dong1,ROWS($1:9)),)="1111",OFFSET(TH!I$1,SMALL(Dong1,ROWS($1:9)),),0))</f>
        <v/>
      </c>
      <c r="I21" s="177">
        <f t="shared" ca="1" si="0"/>
        <v>0</v>
      </c>
      <c r="J21" s="182"/>
    </row>
    <row r="22" spans="1:10" ht="17.25" customHeight="1">
      <c r="A22" s="176" t="str">
        <f ca="1">IF(ROWS($1:10)&gt;COUNT(Dong1),"",OFFSET(TH!C$1,SMALL(Dong1,ROWS($1:10)),))</f>
        <v/>
      </c>
      <c r="B22" s="176" t="str">
        <f ca="1">IF(ROWS($1:10)&gt;COUNT(Dong1),"",OFFSET(TH!E$1,SMALL(Dong1,ROWS($1:10)),))</f>
        <v/>
      </c>
      <c r="C22" s="177" t="str">
        <f ca="1">IF(ROWS($1:10)&gt;COUNT(Dong1),"",IF(OFFSET(TH!J$1,SMALL(Dong1,ROWS($1:10)),)="1111",OFFSET(TH!D$1,SMALL(Dong1,ROWS($1:10)),),""))</f>
        <v/>
      </c>
      <c r="D22" s="178" t="str">
        <f ca="1">IF(ROWS($1:10)&gt;COUNT(Dong1),"",IF(OFFSET(TH!K$1,SMALL(Dong1,ROWS($1:10)),)="1111",OFFSET(TH!D$1,SMALL(Dong1,ROWS($1:10)),),""))</f>
        <v/>
      </c>
      <c r="E22" s="179" t="str">
        <f ca="1">IF(ROWS($1:10)&gt;COUNT(Dong1),"",OFFSET(TH!F$1,SMALL(Dong1,ROWS($1:10)),))</f>
        <v/>
      </c>
      <c r="F22" s="180" t="str">
        <f ca="1">IF(ROWS($1:10)&gt;COUNT(Dong1),"",IF(OFFSET(TH!K$1,SMALL(Dong1,ROWS($1:10)),)="1111",OFFSET(TH!J$1,SMALL(Dong1,ROWS($1:10)),),OFFSET(TH!K$1,SMALL(Dong1,ROWS($1:10)),)))</f>
        <v/>
      </c>
      <c r="G22" s="181" t="str">
        <f ca="1">IF(ROWS($1:10)&gt;COUNT(Dong1),"",IF(OFFSET(TH!J$1,SMALL(Dong1,ROWS($1:10)),)="1111",OFFSET(TH!I$1,SMALL(Dong1,ROWS($1:10)),),0))</f>
        <v/>
      </c>
      <c r="H22" s="179" t="str">
        <f ca="1">IF(ROWS($1:10)&gt;COUNT(Dong1),"",IF(OFFSET(TH!K$1,SMALL(Dong1,ROWS($1:10)),)="1111",OFFSET(TH!I$1,SMALL(Dong1,ROWS($1:10)),),0))</f>
        <v/>
      </c>
      <c r="I22" s="177">
        <f t="shared" ca="1" si="0"/>
        <v>0</v>
      </c>
      <c r="J22" s="182"/>
    </row>
    <row r="23" spans="1:10" ht="17.25" customHeight="1">
      <c r="A23" s="176" t="str">
        <f ca="1">IF(ROWS($1:11)&gt;COUNT(Dong1),"",OFFSET(TH!C$1,SMALL(Dong1,ROWS($1:11)),))</f>
        <v/>
      </c>
      <c r="B23" s="176" t="str">
        <f ca="1">IF(ROWS($1:11)&gt;COUNT(Dong1),"",OFFSET(TH!E$1,SMALL(Dong1,ROWS($1:11)),))</f>
        <v/>
      </c>
      <c r="C23" s="177" t="str">
        <f ca="1">IF(ROWS($1:11)&gt;COUNT(Dong1),"",IF(OFFSET(TH!J$1,SMALL(Dong1,ROWS($1:11)),)="1111",OFFSET(TH!D$1,SMALL(Dong1,ROWS($1:11)),),""))</f>
        <v/>
      </c>
      <c r="D23" s="178" t="str">
        <f ca="1">IF(ROWS($1:11)&gt;COUNT(Dong1),"",IF(OFFSET(TH!K$1,SMALL(Dong1,ROWS($1:11)),)="1111",OFFSET(TH!D$1,SMALL(Dong1,ROWS($1:11)),),""))</f>
        <v/>
      </c>
      <c r="E23" s="179" t="str">
        <f ca="1">IF(ROWS($1:11)&gt;COUNT(Dong1),"",OFFSET(TH!F$1,SMALL(Dong1,ROWS($1:11)),))</f>
        <v/>
      </c>
      <c r="F23" s="180" t="str">
        <f ca="1">IF(ROWS($1:11)&gt;COUNT(Dong1),"",IF(OFFSET(TH!K$1,SMALL(Dong1,ROWS($1:11)),)="1111",OFFSET(TH!J$1,SMALL(Dong1,ROWS($1:11)),),OFFSET(TH!K$1,SMALL(Dong1,ROWS($1:11)),)))</f>
        <v/>
      </c>
      <c r="G23" s="181" t="str">
        <f ca="1">IF(ROWS($1:11)&gt;COUNT(Dong1),"",IF(OFFSET(TH!J$1,SMALL(Dong1,ROWS($1:11)),)="1111",OFFSET(TH!I$1,SMALL(Dong1,ROWS($1:11)),),0))</f>
        <v/>
      </c>
      <c r="H23" s="179" t="str">
        <f ca="1">IF(ROWS($1:11)&gt;COUNT(Dong1),"",IF(OFFSET(TH!K$1,SMALL(Dong1,ROWS($1:11)),)="1111",OFFSET(TH!I$1,SMALL(Dong1,ROWS($1:11)),),0))</f>
        <v/>
      </c>
      <c r="I23" s="177">
        <f t="shared" ca="1" si="0"/>
        <v>0</v>
      </c>
      <c r="J23" s="182"/>
    </row>
    <row r="24" spans="1:10" ht="17.25" customHeight="1">
      <c r="A24" s="176" t="str">
        <f ca="1">IF(ROWS($1:12)&gt;COUNT(Dong1),"",OFFSET(TH!C$1,SMALL(Dong1,ROWS($1:12)),))</f>
        <v/>
      </c>
      <c r="B24" s="176" t="str">
        <f ca="1">IF(ROWS($1:12)&gt;COUNT(Dong1),"",OFFSET(TH!E$1,SMALL(Dong1,ROWS($1:12)),))</f>
        <v/>
      </c>
      <c r="C24" s="177" t="str">
        <f ca="1">IF(ROWS($1:12)&gt;COUNT(Dong1),"",IF(OFFSET(TH!J$1,SMALL(Dong1,ROWS($1:12)),)="1111",OFFSET(TH!D$1,SMALL(Dong1,ROWS($1:12)),),""))</f>
        <v/>
      </c>
      <c r="D24" s="178" t="str">
        <f ca="1">IF(ROWS($1:12)&gt;COUNT(Dong1),"",IF(OFFSET(TH!K$1,SMALL(Dong1,ROWS($1:12)),)="1111",OFFSET(TH!D$1,SMALL(Dong1,ROWS($1:12)),),""))</f>
        <v/>
      </c>
      <c r="E24" s="179" t="str">
        <f ca="1">IF(ROWS($1:12)&gt;COUNT(Dong1),"",OFFSET(TH!F$1,SMALL(Dong1,ROWS($1:12)),))</f>
        <v/>
      </c>
      <c r="F24" s="180" t="str">
        <f ca="1">IF(ROWS($1:12)&gt;COUNT(Dong1),"",IF(OFFSET(TH!K$1,SMALL(Dong1,ROWS($1:12)),)="1111",OFFSET(TH!J$1,SMALL(Dong1,ROWS($1:12)),),OFFSET(TH!K$1,SMALL(Dong1,ROWS($1:12)),)))</f>
        <v/>
      </c>
      <c r="G24" s="181" t="str">
        <f ca="1">IF(ROWS($1:12)&gt;COUNT(Dong1),"",IF(OFFSET(TH!J$1,SMALL(Dong1,ROWS($1:12)),)="1111",OFFSET(TH!I$1,SMALL(Dong1,ROWS($1:12)),),0))</f>
        <v/>
      </c>
      <c r="H24" s="179" t="str">
        <f ca="1">IF(ROWS($1:12)&gt;COUNT(Dong1),"",IF(OFFSET(TH!K$1,SMALL(Dong1,ROWS($1:12)),)="1111",OFFSET(TH!I$1,SMALL(Dong1,ROWS($1:12)),),0))</f>
        <v/>
      </c>
      <c r="I24" s="177">
        <f t="shared" ca="1" si="0"/>
        <v>0</v>
      </c>
      <c r="J24" s="182"/>
    </row>
    <row r="25" spans="1:10" ht="17.25" customHeight="1">
      <c r="A25" s="176" t="str">
        <f ca="1">IF(ROWS($1:13)&gt;COUNT(Dong1),"",OFFSET(TH!C$1,SMALL(Dong1,ROWS($1:13)),))</f>
        <v/>
      </c>
      <c r="B25" s="176" t="str">
        <f ca="1">IF(ROWS($1:13)&gt;COUNT(Dong1),"",OFFSET(TH!E$1,SMALL(Dong1,ROWS($1:13)),))</f>
        <v/>
      </c>
      <c r="C25" s="177" t="str">
        <f ca="1">IF(ROWS($1:13)&gt;COUNT(Dong1),"",IF(OFFSET(TH!J$1,SMALL(Dong1,ROWS($1:13)),)="1111",OFFSET(TH!D$1,SMALL(Dong1,ROWS($1:13)),),""))</f>
        <v/>
      </c>
      <c r="D25" s="178" t="str">
        <f ca="1">IF(ROWS($1:13)&gt;COUNT(Dong1),"",IF(OFFSET(TH!K$1,SMALL(Dong1,ROWS($1:13)),)="1111",OFFSET(TH!D$1,SMALL(Dong1,ROWS($1:13)),),""))</f>
        <v/>
      </c>
      <c r="E25" s="179" t="str">
        <f ca="1">IF(ROWS($1:13)&gt;COUNT(Dong1),"",OFFSET(TH!F$1,SMALL(Dong1,ROWS($1:13)),))</f>
        <v/>
      </c>
      <c r="F25" s="180" t="str">
        <f ca="1">IF(ROWS($1:13)&gt;COUNT(Dong1),"",IF(OFFSET(TH!K$1,SMALL(Dong1,ROWS($1:13)),)="1111",OFFSET(TH!J$1,SMALL(Dong1,ROWS($1:13)),),OFFSET(TH!K$1,SMALL(Dong1,ROWS($1:13)),)))</f>
        <v/>
      </c>
      <c r="G25" s="181" t="str">
        <f ca="1">IF(ROWS($1:13)&gt;COUNT(Dong1),"",IF(OFFSET(TH!J$1,SMALL(Dong1,ROWS($1:13)),)="1111",OFFSET(TH!I$1,SMALL(Dong1,ROWS($1:13)),),0))</f>
        <v/>
      </c>
      <c r="H25" s="179" t="str">
        <f ca="1">IF(ROWS($1:13)&gt;COUNT(Dong1),"",IF(OFFSET(TH!K$1,SMALL(Dong1,ROWS($1:13)),)="1111",OFFSET(TH!I$1,SMALL(Dong1,ROWS($1:13)),),0))</f>
        <v/>
      </c>
      <c r="I25" s="177">
        <f t="shared" ca="1" si="0"/>
        <v>0</v>
      </c>
      <c r="J25" s="182"/>
    </row>
    <row r="26" spans="1:10" ht="17.25" customHeight="1">
      <c r="A26" s="183"/>
      <c r="B26" s="182"/>
      <c r="C26" s="182"/>
      <c r="D26" s="182"/>
      <c r="E26" s="182"/>
      <c r="F26" s="184"/>
      <c r="G26" s="182"/>
      <c r="H26" s="182"/>
      <c r="I26" s="177"/>
      <c r="J26" s="182"/>
    </row>
    <row r="27" spans="1:10" s="172" customFormat="1" ht="17.25" customHeight="1">
      <c r="A27" s="185"/>
      <c r="B27" s="185"/>
      <c r="C27" s="185"/>
      <c r="D27" s="185"/>
      <c r="E27" s="185" t="s">
        <v>209</v>
      </c>
      <c r="F27" s="186" t="s">
        <v>25</v>
      </c>
      <c r="G27" s="185">
        <f ca="1">SUM(G13:G26)</f>
        <v>0</v>
      </c>
      <c r="H27" s="185">
        <f ca="1">SUM(H13:H26)</f>
        <v>382000000</v>
      </c>
      <c r="I27" s="186" t="s">
        <v>25</v>
      </c>
      <c r="J27" s="186" t="s">
        <v>25</v>
      </c>
    </row>
    <row r="28" spans="1:10" s="172" customFormat="1" ht="17.25" customHeight="1">
      <c r="A28" s="187"/>
      <c r="B28" s="187"/>
      <c r="C28" s="187"/>
      <c r="D28" s="187"/>
      <c r="E28" s="187" t="s">
        <v>210</v>
      </c>
      <c r="F28" s="188" t="s">
        <v>25</v>
      </c>
      <c r="G28" s="188" t="s">
        <v>25</v>
      </c>
      <c r="H28" s="188" t="s">
        <v>25</v>
      </c>
      <c r="I28" s="189">
        <f ca="1">I12+G27-H27</f>
        <v>1800943500</v>
      </c>
      <c r="J28" s="188" t="s">
        <v>25</v>
      </c>
    </row>
    <row r="30" spans="1:10">
      <c r="A30" s="190" t="s">
        <v>211</v>
      </c>
    </row>
    <row r="31" spans="1:10">
      <c r="A31" s="274" t="str">
        <f ca="1">"- Ngày mở sổ: "&amp;DAY($A$13)&amp;"/"&amp;MONTH($A$13)&amp;"/ 2014"</f>
        <v>- Ngày mở sổ: 23/7/ 2014</v>
      </c>
    </row>
    <row r="32" spans="1:10">
      <c r="I32" s="191" t="str">
        <f>"Ngày "&amp;IF(OR($O$10=3,$O$10=12),"31","30")&amp;" tháng "&amp;$O$10&amp;"  năm  2014 "</f>
        <v xml:space="preserve">Ngày 30 tháng 9  năm  2014 </v>
      </c>
    </row>
    <row r="33" spans="2:9" s="192" customFormat="1" ht="14.25">
      <c r="B33" s="192" t="s">
        <v>13</v>
      </c>
      <c r="E33" s="192" t="s">
        <v>14</v>
      </c>
      <c r="I33" s="192" t="s">
        <v>178</v>
      </c>
    </row>
    <row r="34" spans="2:9" s="193" customFormat="1">
      <c r="B34" s="193" t="s">
        <v>15</v>
      </c>
      <c r="E34" s="193" t="s">
        <v>15</v>
      </c>
      <c r="I34" s="193" t="s">
        <v>212</v>
      </c>
    </row>
    <row r="35" spans="2:9" s="193" customFormat="1"/>
  </sheetData>
  <autoFilter ref="A11:J28">
    <filterColumn colId="6"/>
  </autoFilter>
  <sortState ref="A13:P167">
    <sortCondition ref="A13:A167"/>
  </sortState>
  <mergeCells count="14">
    <mergeCell ref="G1:J1"/>
    <mergeCell ref="G2:J3"/>
    <mergeCell ref="A5:J5"/>
    <mergeCell ref="A6:J6"/>
    <mergeCell ref="A7:J7"/>
    <mergeCell ref="N9:O9"/>
    <mergeCell ref="A9:A10"/>
    <mergeCell ref="B9:B10"/>
    <mergeCell ref="C9:D9"/>
    <mergeCell ref="E9:E10"/>
    <mergeCell ref="F9:F10"/>
    <mergeCell ref="G9:H9"/>
    <mergeCell ref="I9:I10"/>
    <mergeCell ref="J9:J10"/>
  </mergeCells>
  <conditionalFormatting sqref="A13:H25">
    <cfRule type="expression" dxfId="0" priority="1" stopIfTrue="1">
      <formula>$B13&lt;&gt;""</formula>
    </cfRule>
  </conditionalFormatting>
  <dataValidations count="1">
    <dataValidation type="list" allowBlank="1" showInputMessage="1" showErrorMessage="1" sqref="L10">
      <formula1>"All,Quý I, Quý II, Quý III, Quý IV"</formula1>
    </dataValidation>
  </dataValidations>
  <printOptions horizontalCentered="1"/>
  <pageMargins left="0.86614173228346458" right="0.19685039370078741" top="0.47244094488188981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O77"/>
  <sheetViews>
    <sheetView topLeftCell="A8" workbookViewId="0">
      <pane ySplit="4" topLeftCell="A61" activePane="bottomLeft" state="frozen"/>
      <selection activeCell="A8" sqref="A8"/>
      <selection pane="bottomLeft" activeCell="L9" sqref="L9"/>
    </sheetView>
  </sheetViews>
  <sheetFormatPr defaultRowHeight="15.75"/>
  <cols>
    <col min="1" max="1" width="10.7109375" style="241" customWidth="1"/>
    <col min="2" max="2" width="7.28515625" style="242" customWidth="1"/>
    <col min="3" max="3" width="9.7109375" style="241" customWidth="1"/>
    <col min="4" max="4" width="33" style="240" customWidth="1"/>
    <col min="5" max="5" width="35.28515625" style="240" hidden="1" customWidth="1"/>
    <col min="6" max="6" width="6.5703125" style="240" customWidth="1"/>
    <col min="7" max="8" width="14" style="240" customWidth="1"/>
    <col min="9" max="9" width="14.85546875" style="240" customWidth="1"/>
    <col min="10" max="10" width="8.5703125" style="240" customWidth="1"/>
    <col min="11" max="11" width="2.85546875" style="240" customWidth="1"/>
    <col min="12" max="12" width="10.7109375" style="240" bestFit="1" customWidth="1"/>
    <col min="13" max="13" width="4.140625" style="240" hidden="1" customWidth="1"/>
    <col min="14" max="15" width="4.5703125" style="240" hidden="1" customWidth="1"/>
    <col min="16" max="16" width="0" style="240" hidden="1" customWidth="1"/>
    <col min="17" max="16384" width="9.140625" style="240"/>
  </cols>
  <sheetData>
    <row r="1" spans="1:15" s="197" customFormat="1" ht="16.5" customHeight="1">
      <c r="A1" s="194" t="s">
        <v>185</v>
      </c>
      <c r="B1" s="198"/>
      <c r="C1" s="199"/>
      <c r="H1" s="551" t="s">
        <v>217</v>
      </c>
      <c r="I1" s="551"/>
      <c r="J1" s="551"/>
      <c r="K1" s="200"/>
      <c r="L1" s="200"/>
    </row>
    <row r="2" spans="1:15" s="197" customFormat="1" ht="16.5" customHeight="1">
      <c r="A2" s="139" t="s">
        <v>186</v>
      </c>
      <c r="B2" s="243"/>
      <c r="C2" s="243"/>
      <c r="D2" s="243"/>
      <c r="E2" s="201"/>
      <c r="H2" s="552" t="s">
        <v>218</v>
      </c>
      <c r="I2" s="552"/>
      <c r="J2" s="552"/>
      <c r="K2" s="202"/>
      <c r="L2" s="202"/>
    </row>
    <row r="3" spans="1:15" s="197" customFormat="1" ht="16.5" customHeight="1">
      <c r="A3" s="243"/>
      <c r="B3" s="243"/>
      <c r="C3" s="243"/>
      <c r="D3" s="243"/>
      <c r="E3" s="201"/>
      <c r="H3" s="552" t="s">
        <v>219</v>
      </c>
      <c r="I3" s="552"/>
      <c r="J3" s="552"/>
    </row>
    <row r="4" spans="1:15" s="197" customFormat="1" ht="19.5" customHeight="1">
      <c r="A4" s="553" t="s">
        <v>220</v>
      </c>
      <c r="B4" s="553"/>
      <c r="C4" s="553"/>
      <c r="D4" s="553"/>
      <c r="E4" s="553"/>
      <c r="F4" s="553"/>
      <c r="G4" s="553"/>
      <c r="H4" s="553"/>
      <c r="I4" s="553"/>
      <c r="J4" s="553"/>
    </row>
    <row r="5" spans="1:15" s="197" customFormat="1" ht="15">
      <c r="A5" s="541" t="s">
        <v>221</v>
      </c>
      <c r="B5" s="541"/>
      <c r="C5" s="541"/>
      <c r="D5" s="541"/>
      <c r="E5" s="541"/>
      <c r="F5" s="541"/>
      <c r="G5" s="541"/>
      <c r="H5" s="541"/>
      <c r="I5" s="541"/>
      <c r="J5" s="541"/>
    </row>
    <row r="6" spans="1:15" s="197" customFormat="1" ht="15">
      <c r="A6" s="541" t="s">
        <v>229</v>
      </c>
      <c r="B6" s="541"/>
      <c r="C6" s="541"/>
      <c r="D6" s="541"/>
      <c r="E6" s="541"/>
      <c r="F6" s="541"/>
      <c r="G6" s="541"/>
      <c r="H6" s="541"/>
      <c r="I6" s="541"/>
      <c r="J6" s="541"/>
    </row>
    <row r="7" spans="1:15" s="197" customFormat="1" ht="8.25" customHeight="1">
      <c r="A7" s="203"/>
      <c r="B7" s="204"/>
      <c r="C7" s="203"/>
      <c r="D7" s="204"/>
      <c r="E7" s="204"/>
      <c r="F7" s="204"/>
      <c r="G7" s="204"/>
      <c r="H7" s="204"/>
      <c r="I7" s="204"/>
      <c r="J7" s="204"/>
    </row>
    <row r="8" spans="1:15" s="206" customFormat="1" ht="22.5" customHeight="1" thickBot="1">
      <c r="A8" s="542" t="s">
        <v>222</v>
      </c>
      <c r="B8" s="544" t="s">
        <v>1</v>
      </c>
      <c r="C8" s="545"/>
      <c r="D8" s="546" t="s">
        <v>0</v>
      </c>
      <c r="E8" s="205"/>
      <c r="F8" s="548" t="s">
        <v>18</v>
      </c>
      <c r="G8" s="550" t="s">
        <v>223</v>
      </c>
      <c r="H8" s="544"/>
      <c r="I8" s="545"/>
      <c r="J8" s="546" t="s">
        <v>203</v>
      </c>
      <c r="L8" s="195"/>
      <c r="M8" s="167"/>
      <c r="N8" s="532" t="s">
        <v>213</v>
      </c>
      <c r="O8" s="532"/>
    </row>
    <row r="9" spans="1:15" s="206" customFormat="1" ht="22.5" customHeight="1" thickBot="1">
      <c r="A9" s="543"/>
      <c r="B9" s="207" t="s">
        <v>19</v>
      </c>
      <c r="C9" s="208" t="s">
        <v>224</v>
      </c>
      <c r="D9" s="547"/>
      <c r="E9" s="209"/>
      <c r="F9" s="549"/>
      <c r="G9" s="210" t="s">
        <v>225</v>
      </c>
      <c r="H9" s="210" t="s">
        <v>226</v>
      </c>
      <c r="I9" s="205" t="s">
        <v>227</v>
      </c>
      <c r="J9" s="547"/>
      <c r="L9" s="244" t="s">
        <v>230</v>
      </c>
      <c r="M9" s="167"/>
      <c r="N9" s="245">
        <f>IF(L9="Quý I",1,IF(L9="Quý II",4,IF(L9="Quý III",7,IF(L9="Quý IV",10,""))))</f>
        <v>10</v>
      </c>
      <c r="O9" s="246">
        <f>IF(L9="Quý I",3,IF(L9="Quý II",6,IF(L9="Quý III",9,IF(L9="Quý IV",12,""))))</f>
        <v>12</v>
      </c>
    </row>
    <row r="10" spans="1:15" s="213" customFormat="1" ht="12">
      <c r="A10" s="211" t="s">
        <v>2</v>
      </c>
      <c r="B10" s="212" t="s">
        <v>3</v>
      </c>
      <c r="C10" s="211" t="s">
        <v>4</v>
      </c>
      <c r="D10" s="212" t="s">
        <v>5</v>
      </c>
      <c r="E10" s="212"/>
      <c r="F10" s="212" t="s">
        <v>6</v>
      </c>
      <c r="G10" s="212">
        <v>1</v>
      </c>
      <c r="H10" s="212">
        <v>2</v>
      </c>
      <c r="I10" s="212">
        <v>3</v>
      </c>
      <c r="J10" s="212" t="s">
        <v>206</v>
      </c>
    </row>
    <row r="11" spans="1:15" s="218" customFormat="1" ht="18" customHeight="1">
      <c r="A11" s="214"/>
      <c r="B11" s="215"/>
      <c r="C11" s="214"/>
      <c r="D11" s="216" t="s">
        <v>7</v>
      </c>
      <c r="E11" s="216"/>
      <c r="F11" s="216"/>
      <c r="G11" s="217"/>
      <c r="H11" s="216"/>
      <c r="I11" s="217">
        <f>IF($L$9="All",CDPS!$C$12,CDPS!$C$12+SUMIF(_N112,"x",TH)-SUMIF(_C112,"x",TH))</f>
        <v>839154687</v>
      </c>
      <c r="J11" s="216"/>
    </row>
    <row r="12" spans="1:15" s="206" customFormat="1" ht="18" customHeight="1">
      <c r="A12" s="219">
        <f ca="1">IF(ROWS($1:1)&gt;COUNT(Dong2),"",OFFSET(TH!C$1,SMALL(Dong2,ROWS($1:1)),))</f>
        <v>41915</v>
      </c>
      <c r="B12" s="219" t="str">
        <f ca="1">IF(ROWS($1:1)&gt;COUNT(Dong2),"",OFFSET(TH!D$1,SMALL(Dong2,ROWS($1:1)),))</f>
        <v>GBN</v>
      </c>
      <c r="C12" s="219">
        <f ca="1">IF(ROWS($1:1)&gt;COUNT(Dong2),"",OFFSET(TH!E$1,SMALL(Dong2,ROWS($1:1)),))</f>
        <v>41915</v>
      </c>
      <c r="D12" s="247" t="str">
        <f ca="1">IF(ROWS($1:1)&gt;COUNT(Dong2),"",OFFSET(TH!F$1,SMALL(Dong2,ROWS($1:1)),))</f>
        <v>Thanh toán tiền dự án cấp thoát nước</v>
      </c>
      <c r="E12" s="247">
        <f ca="1">IF(ROWS($1:1)&gt;COUNT(Dong2),"",OFFSET(TH!G$1,SMALL(Dong2,ROWS($1:1)),))</f>
        <v>0</v>
      </c>
      <c r="F12" s="219" t="str">
        <f ca="1">IF(ROWS($1:1)&gt;COUNT(Dong2),"",IF(OFFSET(TH!K$1,SMALL(Dong2,ROWS($1:1)),)="1121",OFFSET(TH!J$1,SMALL(Dong2,ROWS($1:1)),),OFFSET(TH!K$1,SMALL(Dong2,ROWS($1:1)),)))</f>
        <v>331</v>
      </c>
      <c r="G12" s="220">
        <f ca="1">IF(ROWS($1:1)&gt;COUNT(Dong2),"",IF(OFFSET(TH!J$1,SMALL(Dong2,ROWS($1:1)),)="1121",OFFSET(TH!I$1,SMALL(Dong2,ROWS($1:1)),),0))</f>
        <v>0</v>
      </c>
      <c r="H12" s="220">
        <f ca="1">IF(ROWS($1:1)&gt;COUNT(Dong2),"",IF(OFFSET(TH!K$1,SMALL(Dong2,ROWS($1:1)),)="1121",OFFSET(TH!I$1,SMALL(Dong2,ROWS($1:1)),),0))</f>
        <v>16327199</v>
      </c>
      <c r="I12" s="221">
        <f ca="1">IF(A12&lt;&gt;"",I11+G12-H12,0)</f>
        <v>822827488</v>
      </c>
      <c r="J12" s="221"/>
    </row>
    <row r="13" spans="1:15" s="206" customFormat="1" ht="18" customHeight="1">
      <c r="A13" s="219">
        <f ca="1">IF(ROWS($1:2)&gt;COUNT(Dong2),"",OFFSET(TH!C$1,SMALL(Dong2,ROWS($1:2)),))</f>
        <v>41915</v>
      </c>
      <c r="B13" s="219" t="str">
        <f ca="1">IF(ROWS($1:2)&gt;COUNT(Dong2),"",OFFSET(TH!D$1,SMALL(Dong2,ROWS($1:2)),))</f>
        <v>GBN</v>
      </c>
      <c r="C13" s="219">
        <f ca="1">IF(ROWS($1:2)&gt;COUNT(Dong2),"",OFFSET(TH!E$1,SMALL(Dong2,ROWS($1:2)),))</f>
        <v>41915</v>
      </c>
      <c r="D13" s="247" t="str">
        <f ca="1">IF(ROWS($1:2)&gt;COUNT(Dong2),"",OFFSET(TH!F$1,SMALL(Dong2,ROWS($1:2)),))</f>
        <v xml:space="preserve">Phí chuyển tiền </v>
      </c>
      <c r="E13" s="247">
        <f ca="1">IF(ROWS($1:2)&gt;COUNT(Dong2),"",OFFSET(TH!G$1,SMALL(Dong2,ROWS($1:2)),))</f>
        <v>0</v>
      </c>
      <c r="F13" s="219" t="str">
        <f ca="1">IF(ROWS($1:2)&gt;COUNT(Dong2),"",IF(OFFSET(TH!K$1,SMALL(Dong2,ROWS($1:2)),)="1121",OFFSET(TH!J$1,SMALL(Dong2,ROWS($1:2)),),OFFSET(TH!K$1,SMALL(Dong2,ROWS($1:2)),)))</f>
        <v>642</v>
      </c>
      <c r="G13" s="220">
        <f ca="1">IF(ROWS($1:2)&gt;COUNT(Dong2),"",IF(OFFSET(TH!J$1,SMALL(Dong2,ROWS($1:2)),)="1121",OFFSET(TH!I$1,SMALL(Dong2,ROWS($1:2)),),0))</f>
        <v>0</v>
      </c>
      <c r="H13" s="220">
        <f ca="1">IF(ROWS($1:2)&gt;COUNT(Dong2),"",IF(OFFSET(TH!K$1,SMALL(Dong2,ROWS($1:2)),)="1121",OFFSET(TH!I$1,SMALL(Dong2,ROWS($1:2)),),0))</f>
        <v>25000</v>
      </c>
      <c r="I13" s="221">
        <f t="shared" ref="I13:I32" ca="1" si="0">IF(A13&lt;&gt;"",I12+G13-H13,0)</f>
        <v>822802488</v>
      </c>
      <c r="J13" s="221"/>
    </row>
    <row r="14" spans="1:15" s="206" customFormat="1" ht="18" customHeight="1">
      <c r="A14" s="219">
        <f ca="1">IF(ROWS($1:3)&gt;COUNT(Dong2),"",OFFSET(TH!C$1,SMALL(Dong2,ROWS($1:3)),))</f>
        <v>41915</v>
      </c>
      <c r="B14" s="219" t="str">
        <f ca="1">IF(ROWS($1:3)&gt;COUNT(Dong2),"",OFFSET(TH!D$1,SMALL(Dong2,ROWS($1:3)),))</f>
        <v>GBN</v>
      </c>
      <c r="C14" s="219">
        <f ca="1">IF(ROWS($1:3)&gt;COUNT(Dong2),"",OFFSET(TH!E$1,SMALL(Dong2,ROWS($1:3)),))</f>
        <v>41915</v>
      </c>
      <c r="D14" s="247" t="str">
        <f ca="1">IF(ROWS($1:3)&gt;COUNT(Dong2),"",OFFSET(TH!F$1,SMALL(Dong2,ROWS($1:3)),))</f>
        <v xml:space="preserve">VAT Phí chuyển tiền </v>
      </c>
      <c r="E14" s="247">
        <f ca="1">IF(ROWS($1:3)&gt;COUNT(Dong2),"",OFFSET(TH!G$1,SMALL(Dong2,ROWS($1:3)),))</f>
        <v>0</v>
      </c>
      <c r="F14" s="219" t="str">
        <f ca="1">IF(ROWS($1:3)&gt;COUNT(Dong2),"",IF(OFFSET(TH!K$1,SMALL(Dong2,ROWS($1:3)),)="1121",OFFSET(TH!J$1,SMALL(Dong2,ROWS($1:3)),),OFFSET(TH!K$1,SMALL(Dong2,ROWS($1:3)),)))</f>
        <v>1331</v>
      </c>
      <c r="G14" s="220">
        <f ca="1">IF(ROWS($1:3)&gt;COUNT(Dong2),"",IF(OFFSET(TH!J$1,SMALL(Dong2,ROWS($1:3)),)="1121",OFFSET(TH!I$1,SMALL(Dong2,ROWS($1:3)),),0))</f>
        <v>0</v>
      </c>
      <c r="H14" s="220">
        <f ca="1">IF(ROWS($1:3)&gt;COUNT(Dong2),"",IF(OFFSET(TH!K$1,SMALL(Dong2,ROWS($1:3)),)="1121",OFFSET(TH!I$1,SMALL(Dong2,ROWS($1:3)),),0))</f>
        <v>2500</v>
      </c>
      <c r="I14" s="221">
        <f t="shared" ca="1" si="0"/>
        <v>822799988</v>
      </c>
      <c r="J14" s="221"/>
    </row>
    <row r="15" spans="1:15" s="206" customFormat="1" ht="18" customHeight="1">
      <c r="A15" s="219">
        <f ca="1">IF(ROWS($1:4)&gt;COUNT(Dong2),"",OFFSET(TH!C$1,SMALL(Dong2,ROWS($1:4)),))</f>
        <v>41918</v>
      </c>
      <c r="B15" s="219" t="str">
        <f ca="1">IF(ROWS($1:4)&gt;COUNT(Dong2),"",OFFSET(TH!D$1,SMALL(Dong2,ROWS($1:4)),))</f>
        <v>GBN</v>
      </c>
      <c r="C15" s="219">
        <f ca="1">IF(ROWS($1:4)&gt;COUNT(Dong2),"",OFFSET(TH!E$1,SMALL(Dong2,ROWS($1:4)),))</f>
        <v>41918</v>
      </c>
      <c r="D15" s="247" t="str">
        <f ca="1">IF(ROWS($1:4)&gt;COUNT(Dong2),"",OFFSET(TH!F$1,SMALL(Dong2,ROWS($1:4)),))</f>
        <v>Thanh toán CSHT - KCN Long Đức 15/09/14 - 15/09/15</v>
      </c>
      <c r="E15" s="247">
        <f ca="1">IF(ROWS($1:4)&gt;COUNT(Dong2),"",OFFSET(TH!G$1,SMALL(Dong2,ROWS($1:4)),))</f>
        <v>0</v>
      </c>
      <c r="F15" s="219" t="str">
        <f ca="1">IF(ROWS($1:4)&gt;COUNT(Dong2),"",IF(OFFSET(TH!K$1,SMALL(Dong2,ROWS($1:4)),)="1121",OFFSET(TH!J$1,SMALL(Dong2,ROWS($1:4)),),OFFSET(TH!K$1,SMALL(Dong2,ROWS($1:4)),)))</f>
        <v>331</v>
      </c>
      <c r="G15" s="220">
        <f ca="1">IF(ROWS($1:4)&gt;COUNT(Dong2),"",IF(OFFSET(TH!J$1,SMALL(Dong2,ROWS($1:4)),)="1121",OFFSET(TH!I$1,SMALL(Dong2,ROWS($1:4)),),0))</f>
        <v>0</v>
      </c>
      <c r="H15" s="220">
        <f ca="1">IF(ROWS($1:4)&gt;COUNT(Dong2),"",IF(OFFSET(TH!K$1,SMALL(Dong2,ROWS($1:4)),)="1121",OFFSET(TH!I$1,SMALL(Dong2,ROWS($1:4)),),0))</f>
        <v>34408000</v>
      </c>
      <c r="I15" s="221">
        <f t="shared" ca="1" si="0"/>
        <v>788391988</v>
      </c>
      <c r="J15" s="221"/>
    </row>
    <row r="16" spans="1:15" s="206" customFormat="1" ht="18" customHeight="1">
      <c r="A16" s="219">
        <f ca="1">IF(ROWS($1:5)&gt;COUNT(Dong2),"",OFFSET(TH!C$1,SMALL(Dong2,ROWS($1:5)),))</f>
        <v>41918</v>
      </c>
      <c r="B16" s="219" t="str">
        <f ca="1">IF(ROWS($1:5)&gt;COUNT(Dong2),"",OFFSET(TH!D$1,SMALL(Dong2,ROWS($1:5)),))</f>
        <v>GBN</v>
      </c>
      <c r="C16" s="219">
        <f ca="1">IF(ROWS($1:5)&gt;COUNT(Dong2),"",OFFSET(TH!E$1,SMALL(Dong2,ROWS($1:5)),))</f>
        <v>41918</v>
      </c>
      <c r="D16" s="247" t="str">
        <f ca="1">IF(ROWS($1:5)&gt;COUNT(Dong2),"",OFFSET(TH!F$1,SMALL(Dong2,ROWS($1:5)),))</f>
        <v xml:space="preserve">Phí chuyển tiền </v>
      </c>
      <c r="E16" s="247">
        <f ca="1">IF(ROWS($1:5)&gt;COUNT(Dong2),"",OFFSET(TH!G$1,SMALL(Dong2,ROWS($1:5)),))</f>
        <v>0</v>
      </c>
      <c r="F16" s="219" t="str">
        <f ca="1">IF(ROWS($1:5)&gt;COUNT(Dong2),"",IF(OFFSET(TH!K$1,SMALL(Dong2,ROWS($1:5)),)="1121",OFFSET(TH!J$1,SMALL(Dong2,ROWS($1:5)),),OFFSET(TH!K$1,SMALL(Dong2,ROWS($1:5)),)))</f>
        <v>642</v>
      </c>
      <c r="G16" s="220">
        <f ca="1">IF(ROWS($1:5)&gt;COUNT(Dong2),"",IF(OFFSET(TH!J$1,SMALL(Dong2,ROWS($1:5)),)="1121",OFFSET(TH!I$1,SMALL(Dong2,ROWS($1:5)),),0))</f>
        <v>0</v>
      </c>
      <c r="H16" s="220">
        <f ca="1">IF(ROWS($1:5)&gt;COUNT(Dong2),"",IF(OFFSET(TH!K$1,SMALL(Dong2,ROWS($1:5)),)="1121",OFFSET(TH!I$1,SMALL(Dong2,ROWS($1:5)),),0))</f>
        <v>25000</v>
      </c>
      <c r="I16" s="221">
        <f t="shared" ca="1" si="0"/>
        <v>788366988</v>
      </c>
      <c r="J16" s="221"/>
    </row>
    <row r="17" spans="1:10" s="206" customFormat="1" ht="18" customHeight="1">
      <c r="A17" s="219">
        <f ca="1">IF(ROWS($1:6)&gt;COUNT(Dong2),"",OFFSET(TH!C$1,SMALL(Dong2,ROWS($1:6)),))</f>
        <v>41918</v>
      </c>
      <c r="B17" s="219" t="str">
        <f ca="1">IF(ROWS($1:6)&gt;COUNT(Dong2),"",OFFSET(TH!D$1,SMALL(Dong2,ROWS($1:6)),))</f>
        <v>GBN</v>
      </c>
      <c r="C17" s="219">
        <f ca="1">IF(ROWS($1:6)&gt;COUNT(Dong2),"",OFFSET(TH!E$1,SMALL(Dong2,ROWS($1:6)),))</f>
        <v>41918</v>
      </c>
      <c r="D17" s="247" t="str">
        <f ca="1">IF(ROWS($1:6)&gt;COUNT(Dong2),"",OFFSET(TH!F$1,SMALL(Dong2,ROWS($1:6)),))</f>
        <v xml:space="preserve">VAT Phí chuyển tiền </v>
      </c>
      <c r="E17" s="247">
        <f ca="1">IF(ROWS($1:6)&gt;COUNT(Dong2),"",OFFSET(TH!G$1,SMALL(Dong2,ROWS($1:6)),))</f>
        <v>0</v>
      </c>
      <c r="F17" s="219" t="str">
        <f ca="1">IF(ROWS($1:6)&gt;COUNT(Dong2),"",IF(OFFSET(TH!K$1,SMALL(Dong2,ROWS($1:6)),)="1121",OFFSET(TH!J$1,SMALL(Dong2,ROWS($1:6)),),OFFSET(TH!K$1,SMALL(Dong2,ROWS($1:6)),)))</f>
        <v>1331</v>
      </c>
      <c r="G17" s="220">
        <f ca="1">IF(ROWS($1:6)&gt;COUNT(Dong2),"",IF(OFFSET(TH!J$1,SMALL(Dong2,ROWS($1:6)),)="1121",OFFSET(TH!I$1,SMALL(Dong2,ROWS($1:6)),),0))</f>
        <v>0</v>
      </c>
      <c r="H17" s="220">
        <f ca="1">IF(ROWS($1:6)&gt;COUNT(Dong2),"",IF(OFFSET(TH!K$1,SMALL(Dong2,ROWS($1:6)),)="1121",OFFSET(TH!I$1,SMALL(Dong2,ROWS($1:6)),),0))</f>
        <v>2500</v>
      </c>
      <c r="I17" s="221">
        <f t="shared" ca="1" si="0"/>
        <v>788364488</v>
      </c>
      <c r="J17" s="221"/>
    </row>
    <row r="18" spans="1:10" s="206" customFormat="1" ht="18" customHeight="1">
      <c r="A18" s="219">
        <f ca="1">IF(ROWS($1:7)&gt;COUNT(Dong2),"",OFFSET(TH!C$1,SMALL(Dong2,ROWS($1:7)),))</f>
        <v>41928</v>
      </c>
      <c r="B18" s="219" t="str">
        <f ca="1">IF(ROWS($1:7)&gt;COUNT(Dong2),"",OFFSET(TH!D$1,SMALL(Dong2,ROWS($1:7)),))</f>
        <v>GBN</v>
      </c>
      <c r="C18" s="219">
        <f ca="1">IF(ROWS($1:7)&gt;COUNT(Dong2),"",OFFSET(TH!E$1,SMALL(Dong2,ROWS($1:7)),))</f>
        <v>41928</v>
      </c>
      <c r="D18" s="247" t="str">
        <f ca="1">IF(ROWS($1:7)&gt;COUNT(Dong2),"",OFFSET(TH!F$1,SMALL(Dong2,ROWS($1:7)),))</f>
        <v>Ứng tiền cọc betong IBS</v>
      </c>
      <c r="E18" s="247">
        <f ca="1">IF(ROWS($1:7)&gt;COUNT(Dong2),"",OFFSET(TH!G$1,SMALL(Dong2,ROWS($1:7)),))</f>
        <v>0</v>
      </c>
      <c r="F18" s="219" t="str">
        <f ca="1">IF(ROWS($1:7)&gt;COUNT(Dong2),"",IF(OFFSET(TH!K$1,SMALL(Dong2,ROWS($1:7)),)="1121",OFFSET(TH!J$1,SMALL(Dong2,ROWS($1:7)),),OFFSET(TH!K$1,SMALL(Dong2,ROWS($1:7)),)))</f>
        <v>331</v>
      </c>
      <c r="G18" s="220">
        <f ca="1">IF(ROWS($1:7)&gt;COUNT(Dong2),"",IF(OFFSET(TH!J$1,SMALL(Dong2,ROWS($1:7)),)="1121",OFFSET(TH!I$1,SMALL(Dong2,ROWS($1:7)),),0))</f>
        <v>0</v>
      </c>
      <c r="H18" s="220">
        <f ca="1">IF(ROWS($1:7)&gt;COUNT(Dong2),"",IF(OFFSET(TH!K$1,SMALL(Dong2,ROWS($1:7)),)="1121",OFFSET(TH!I$1,SMALL(Dong2,ROWS($1:7)),),0))</f>
        <v>323824160</v>
      </c>
      <c r="I18" s="221">
        <f t="shared" ca="1" si="0"/>
        <v>464540328</v>
      </c>
      <c r="J18" s="221"/>
    </row>
    <row r="19" spans="1:10" s="206" customFormat="1" ht="18" customHeight="1">
      <c r="A19" s="219">
        <f ca="1">IF(ROWS($1:8)&gt;COUNT(Dong2),"",OFFSET(TH!C$1,SMALL(Dong2,ROWS($1:8)),))</f>
        <v>41928</v>
      </c>
      <c r="B19" s="219" t="str">
        <f ca="1">IF(ROWS($1:8)&gt;COUNT(Dong2),"",OFFSET(TH!D$1,SMALL(Dong2,ROWS($1:8)),))</f>
        <v>GBN</v>
      </c>
      <c r="C19" s="219">
        <f ca="1">IF(ROWS($1:8)&gt;COUNT(Dong2),"",OFFSET(TH!E$1,SMALL(Dong2,ROWS($1:8)),))</f>
        <v>41928</v>
      </c>
      <c r="D19" s="247" t="str">
        <f ca="1">IF(ROWS($1:8)&gt;COUNT(Dong2),"",OFFSET(TH!F$1,SMALL(Dong2,ROWS($1:8)),))</f>
        <v xml:space="preserve">Phí chuyển tiền </v>
      </c>
      <c r="E19" s="247">
        <f ca="1">IF(ROWS($1:8)&gt;COUNT(Dong2),"",OFFSET(TH!G$1,SMALL(Dong2,ROWS($1:8)),))</f>
        <v>0</v>
      </c>
      <c r="F19" s="219" t="str">
        <f ca="1">IF(ROWS($1:8)&gt;COUNT(Dong2),"",IF(OFFSET(TH!K$1,SMALL(Dong2,ROWS($1:8)),)="1121",OFFSET(TH!J$1,SMALL(Dong2,ROWS($1:8)),),OFFSET(TH!K$1,SMALL(Dong2,ROWS($1:8)),)))</f>
        <v>642</v>
      </c>
      <c r="G19" s="220">
        <f ca="1">IF(ROWS($1:8)&gt;COUNT(Dong2),"",IF(OFFSET(TH!J$1,SMALL(Dong2,ROWS($1:8)),)="1121",OFFSET(TH!I$1,SMALL(Dong2,ROWS($1:8)),),0))</f>
        <v>0</v>
      </c>
      <c r="H19" s="220">
        <f ca="1">IF(ROWS($1:8)&gt;COUNT(Dong2),"",IF(OFFSET(TH!K$1,SMALL(Dong2,ROWS($1:8)),)="1121",OFFSET(TH!I$1,SMALL(Dong2,ROWS($1:8)),),0))</f>
        <v>97147</v>
      </c>
      <c r="I19" s="221">
        <f t="shared" ca="1" si="0"/>
        <v>464443181</v>
      </c>
      <c r="J19" s="221"/>
    </row>
    <row r="20" spans="1:10" s="206" customFormat="1" ht="18" customHeight="1">
      <c r="A20" s="219">
        <f ca="1">IF(ROWS($1:9)&gt;COUNT(Dong2),"",OFFSET(TH!C$1,SMALL(Dong2,ROWS($1:9)),))</f>
        <v>41928</v>
      </c>
      <c r="B20" s="219" t="str">
        <f ca="1">IF(ROWS($1:9)&gt;COUNT(Dong2),"",OFFSET(TH!D$1,SMALL(Dong2,ROWS($1:9)),))</f>
        <v>GBN</v>
      </c>
      <c r="C20" s="219">
        <f ca="1">IF(ROWS($1:9)&gt;COUNT(Dong2),"",OFFSET(TH!E$1,SMALL(Dong2,ROWS($1:9)),))</f>
        <v>41928</v>
      </c>
      <c r="D20" s="247" t="str">
        <f ca="1">IF(ROWS($1:9)&gt;COUNT(Dong2),"",OFFSET(TH!F$1,SMALL(Dong2,ROWS($1:9)),))</f>
        <v xml:space="preserve">VAT Phí chuyển tiền </v>
      </c>
      <c r="E20" s="247">
        <f ca="1">IF(ROWS($1:9)&gt;COUNT(Dong2),"",OFFSET(TH!G$1,SMALL(Dong2,ROWS($1:9)),))</f>
        <v>0</v>
      </c>
      <c r="F20" s="219" t="str">
        <f ca="1">IF(ROWS($1:9)&gt;COUNT(Dong2),"",IF(OFFSET(TH!K$1,SMALL(Dong2,ROWS($1:9)),)="1121",OFFSET(TH!J$1,SMALL(Dong2,ROWS($1:9)),),OFFSET(TH!K$1,SMALL(Dong2,ROWS($1:9)),)))</f>
        <v>1331</v>
      </c>
      <c r="G20" s="220">
        <f ca="1">IF(ROWS($1:9)&gt;COUNT(Dong2),"",IF(OFFSET(TH!J$1,SMALL(Dong2,ROWS($1:9)),)="1121",OFFSET(TH!I$1,SMALL(Dong2,ROWS($1:9)),),0))</f>
        <v>0</v>
      </c>
      <c r="H20" s="220">
        <f ca="1">IF(ROWS($1:9)&gt;COUNT(Dong2),"",IF(OFFSET(TH!K$1,SMALL(Dong2,ROWS($1:9)),)="1121",OFFSET(TH!I$1,SMALL(Dong2,ROWS($1:9)),),0))</f>
        <v>9715</v>
      </c>
      <c r="I20" s="221">
        <f t="shared" ca="1" si="0"/>
        <v>464433466</v>
      </c>
      <c r="J20" s="221"/>
    </row>
    <row r="21" spans="1:10" s="206" customFormat="1" ht="18" customHeight="1">
      <c r="A21" s="219">
        <f ca="1">IF(ROWS($1:10)&gt;COUNT(Dong2),"",OFFSET(TH!C$1,SMALL(Dong2,ROWS($1:10)),))</f>
        <v>41929</v>
      </c>
      <c r="B21" s="219" t="str">
        <f ca="1">IF(ROWS($1:10)&gt;COUNT(Dong2),"",OFFSET(TH!D$1,SMALL(Dong2,ROWS($1:10)),))</f>
        <v>GBC</v>
      </c>
      <c r="C21" s="219">
        <f ca="1">IF(ROWS($1:10)&gt;COUNT(Dong2),"",OFFSET(TH!E$1,SMALL(Dong2,ROWS($1:10)),))</f>
        <v>41929</v>
      </c>
      <c r="D21" s="247" t="str">
        <f ca="1">IF(ROWS($1:10)&gt;COUNT(Dong2),"",OFFSET(TH!F$1,SMALL(Dong2,ROWS($1:10)),))</f>
        <v>An Lạc LA- Ứng vốn</v>
      </c>
      <c r="E21" s="247">
        <f ca="1">IF(ROWS($1:10)&gt;COUNT(Dong2),"",OFFSET(TH!G$1,SMALL(Dong2,ROWS($1:10)),))</f>
        <v>0</v>
      </c>
      <c r="F21" s="219" t="str">
        <f ca="1">IF(ROWS($1:10)&gt;COUNT(Dong2),"",IF(OFFSET(TH!K$1,SMALL(Dong2,ROWS($1:10)),)="1121",OFFSET(TH!J$1,SMALL(Dong2,ROWS($1:10)),),OFFSET(TH!K$1,SMALL(Dong2,ROWS($1:10)),)))</f>
        <v>3388</v>
      </c>
      <c r="G21" s="220">
        <f ca="1">IF(ROWS($1:10)&gt;COUNT(Dong2),"",IF(OFFSET(TH!J$1,SMALL(Dong2,ROWS($1:10)),)="1121",OFFSET(TH!I$1,SMALL(Dong2,ROWS($1:10)),),0))</f>
        <v>25000000</v>
      </c>
      <c r="H21" s="220">
        <f ca="1">IF(ROWS($1:10)&gt;COUNT(Dong2),"",IF(OFFSET(TH!K$1,SMALL(Dong2,ROWS($1:10)),)="1121",OFFSET(TH!I$1,SMALL(Dong2,ROWS($1:10)),),0))</f>
        <v>0</v>
      </c>
      <c r="I21" s="221">
        <f t="shared" ca="1" si="0"/>
        <v>489433466</v>
      </c>
      <c r="J21" s="221"/>
    </row>
    <row r="22" spans="1:10" s="206" customFormat="1" ht="18" customHeight="1">
      <c r="A22" s="219">
        <f ca="1">IF(ROWS($1:11)&gt;COUNT(Dong2),"",OFFSET(TH!C$1,SMALL(Dong2,ROWS($1:11)),))</f>
        <v>41932</v>
      </c>
      <c r="B22" s="219" t="str">
        <f ca="1">IF(ROWS($1:11)&gt;COUNT(Dong2),"",OFFSET(TH!D$1,SMALL(Dong2,ROWS($1:11)),))</f>
        <v>GBN</v>
      </c>
      <c r="C22" s="219">
        <f ca="1">IF(ROWS($1:11)&gt;COUNT(Dong2),"",OFFSET(TH!E$1,SMALL(Dong2,ROWS($1:11)),))</f>
        <v>41932</v>
      </c>
      <c r="D22" s="247" t="str">
        <f ca="1">IF(ROWS($1:11)&gt;COUNT(Dong2),"",OFFSET(TH!F$1,SMALL(Dong2,ROWS($1:11)),))</f>
        <v>Lãi vay KU 1402LDS201401630</v>
      </c>
      <c r="E22" s="247">
        <f ca="1">IF(ROWS($1:11)&gt;COUNT(Dong2),"",OFFSET(TH!G$1,SMALL(Dong2,ROWS($1:11)),))</f>
        <v>0</v>
      </c>
      <c r="F22" s="219" t="str">
        <f ca="1">IF(ROWS($1:11)&gt;COUNT(Dong2),"",IF(OFFSET(TH!K$1,SMALL(Dong2,ROWS($1:11)),)="1121",OFFSET(TH!J$1,SMALL(Dong2,ROWS($1:11)),),OFFSET(TH!K$1,SMALL(Dong2,ROWS($1:11)),)))</f>
        <v>635</v>
      </c>
      <c r="G22" s="220">
        <f ca="1">IF(ROWS($1:11)&gt;COUNT(Dong2),"",IF(OFFSET(TH!J$1,SMALL(Dong2,ROWS($1:11)),)="1121",OFFSET(TH!I$1,SMALL(Dong2,ROWS($1:11)),),0))</f>
        <v>0</v>
      </c>
      <c r="H22" s="220">
        <f ca="1">IF(ROWS($1:11)&gt;COUNT(Dong2),"",IF(OFFSET(TH!K$1,SMALL(Dong2,ROWS($1:11)),)="1121",OFFSET(TH!I$1,SMALL(Dong2,ROWS($1:11)),),0))</f>
        <v>8333333</v>
      </c>
      <c r="I22" s="221">
        <f t="shared" ca="1" si="0"/>
        <v>481100133</v>
      </c>
      <c r="J22" s="221"/>
    </row>
    <row r="23" spans="1:10" s="206" customFormat="1" ht="18" customHeight="1">
      <c r="A23" s="219">
        <f ca="1">IF(ROWS($1:12)&gt;COUNT(Dong2),"",OFFSET(TH!C$1,SMALL(Dong2,ROWS($1:12)),))</f>
        <v>41934</v>
      </c>
      <c r="B23" s="219" t="str">
        <f ca="1">IF(ROWS($1:12)&gt;COUNT(Dong2),"",OFFSET(TH!D$1,SMALL(Dong2,ROWS($1:12)),))</f>
        <v>GBC</v>
      </c>
      <c r="C23" s="219">
        <f ca="1">IF(ROWS($1:12)&gt;COUNT(Dong2),"",OFFSET(TH!E$1,SMALL(Dong2,ROWS($1:12)),))</f>
        <v>41934</v>
      </c>
      <c r="D23" s="247" t="str">
        <f ca="1">IF(ROWS($1:12)&gt;COUNT(Dong2),"",OFFSET(TH!F$1,SMALL(Dong2,ROWS($1:12)),))</f>
        <v>Vay KU 1402LDS201402374</v>
      </c>
      <c r="E23" s="247">
        <f ca="1">IF(ROWS($1:12)&gt;COUNT(Dong2),"",OFFSET(TH!G$1,SMALL(Dong2,ROWS($1:12)),))</f>
        <v>0</v>
      </c>
      <c r="F23" s="219" t="str">
        <f ca="1">IF(ROWS($1:12)&gt;COUNT(Dong2),"",IF(OFFSET(TH!K$1,SMALL(Dong2,ROWS($1:12)),)="1121",OFFSET(TH!J$1,SMALL(Dong2,ROWS($1:12)),),OFFSET(TH!K$1,SMALL(Dong2,ROWS($1:12)),)))</f>
        <v>3411</v>
      </c>
      <c r="G23" s="220">
        <f ca="1">IF(ROWS($1:12)&gt;COUNT(Dong2),"",IF(OFFSET(TH!J$1,SMALL(Dong2,ROWS($1:12)),)="1121",OFFSET(TH!I$1,SMALL(Dong2,ROWS($1:12)),),0))</f>
        <v>1600000000</v>
      </c>
      <c r="H23" s="220">
        <f ca="1">IF(ROWS($1:12)&gt;COUNT(Dong2),"",IF(OFFSET(TH!K$1,SMALL(Dong2,ROWS($1:12)),)="1121",OFFSET(TH!I$1,SMALL(Dong2,ROWS($1:12)),),0))</f>
        <v>0</v>
      </c>
      <c r="I23" s="221">
        <f t="shared" ca="1" si="0"/>
        <v>2081100133</v>
      </c>
      <c r="J23" s="221"/>
    </row>
    <row r="24" spans="1:10" s="206" customFormat="1" ht="18" customHeight="1">
      <c r="A24" s="219">
        <f ca="1">IF(ROWS($1:13)&gt;COUNT(Dong2),"",OFFSET(TH!C$1,SMALL(Dong2,ROWS($1:13)),))</f>
        <v>41935</v>
      </c>
      <c r="B24" s="219" t="str">
        <f ca="1">IF(ROWS($1:13)&gt;COUNT(Dong2),"",OFFSET(TH!D$1,SMALL(Dong2,ROWS($1:13)),))</f>
        <v>GBN</v>
      </c>
      <c r="C24" s="219">
        <f ca="1">IF(ROWS($1:13)&gt;COUNT(Dong2),"",OFFSET(TH!E$1,SMALL(Dong2,ROWS($1:13)),))</f>
        <v>41935</v>
      </c>
      <c r="D24" s="247" t="str">
        <f ca="1">IF(ROWS($1:13)&gt;COUNT(Dong2),"",OFFSET(TH!F$1,SMALL(Dong2,ROWS($1:13)),))</f>
        <v>Thanh toán tiền xây dựng - Khánh Trân</v>
      </c>
      <c r="E24" s="247">
        <f ca="1">IF(ROWS($1:13)&gt;COUNT(Dong2),"",OFFSET(TH!G$1,SMALL(Dong2,ROWS($1:13)),))</f>
        <v>0</v>
      </c>
      <c r="F24" s="219" t="str">
        <f ca="1">IF(ROWS($1:13)&gt;COUNT(Dong2),"",IF(OFFSET(TH!K$1,SMALL(Dong2,ROWS($1:13)),)="1121",OFFSET(TH!J$1,SMALL(Dong2,ROWS($1:13)),),OFFSET(TH!K$1,SMALL(Dong2,ROWS($1:13)),)))</f>
        <v>331</v>
      </c>
      <c r="G24" s="220">
        <f ca="1">IF(ROWS($1:13)&gt;COUNT(Dong2),"",IF(OFFSET(TH!J$1,SMALL(Dong2,ROWS($1:13)),)="1121",OFFSET(TH!I$1,SMALL(Dong2,ROWS($1:13)),),0))</f>
        <v>0</v>
      </c>
      <c r="H24" s="220">
        <f ca="1">IF(ROWS($1:13)&gt;COUNT(Dong2),"",IF(OFFSET(TH!K$1,SMALL(Dong2,ROWS($1:13)),)="1121",OFFSET(TH!I$1,SMALL(Dong2,ROWS($1:13)),),0))</f>
        <v>1500000000</v>
      </c>
      <c r="I24" s="221">
        <f t="shared" ca="1" si="0"/>
        <v>581100133</v>
      </c>
      <c r="J24" s="221"/>
    </row>
    <row r="25" spans="1:10" s="206" customFormat="1" ht="18" customHeight="1">
      <c r="A25" s="219">
        <f ca="1">IF(ROWS($1:14)&gt;COUNT(Dong2),"",OFFSET(TH!C$1,SMALL(Dong2,ROWS($1:14)),))</f>
        <v>41935</v>
      </c>
      <c r="B25" s="219" t="str">
        <f ca="1">IF(ROWS($1:14)&gt;COUNT(Dong2),"",OFFSET(TH!D$1,SMALL(Dong2,ROWS($1:14)),))</f>
        <v>GBN</v>
      </c>
      <c r="C25" s="219">
        <f ca="1">IF(ROWS($1:14)&gt;COUNT(Dong2),"",OFFSET(TH!E$1,SMALL(Dong2,ROWS($1:14)),))</f>
        <v>41935</v>
      </c>
      <c r="D25" s="247" t="str">
        <f ca="1">IF(ROWS($1:14)&gt;COUNT(Dong2),"",OFFSET(TH!F$1,SMALL(Dong2,ROWS($1:14)),))</f>
        <v xml:space="preserve">Phí chuyển tiền </v>
      </c>
      <c r="E25" s="247">
        <f ca="1">IF(ROWS($1:14)&gt;COUNT(Dong2),"",OFFSET(TH!G$1,SMALL(Dong2,ROWS($1:14)),))</f>
        <v>0</v>
      </c>
      <c r="F25" s="219" t="str">
        <f ca="1">IF(ROWS($1:14)&gt;COUNT(Dong2),"",IF(OFFSET(TH!K$1,SMALL(Dong2,ROWS($1:14)),)="1121",OFFSET(TH!J$1,SMALL(Dong2,ROWS($1:14)),),OFFSET(TH!K$1,SMALL(Dong2,ROWS($1:14)),)))</f>
        <v>642</v>
      </c>
      <c r="G25" s="220">
        <f ca="1">IF(ROWS($1:14)&gt;COUNT(Dong2),"",IF(OFFSET(TH!J$1,SMALL(Dong2,ROWS($1:14)),)="1121",OFFSET(TH!I$1,SMALL(Dong2,ROWS($1:14)),),0))</f>
        <v>0</v>
      </c>
      <c r="H25" s="220">
        <f ca="1">IF(ROWS($1:14)&gt;COUNT(Dong2),"",IF(OFFSET(TH!K$1,SMALL(Dong2,ROWS($1:14)),)="1121",OFFSET(TH!I$1,SMALL(Dong2,ROWS($1:14)),),0))</f>
        <v>750000</v>
      </c>
      <c r="I25" s="221">
        <f t="shared" ca="1" si="0"/>
        <v>580350133</v>
      </c>
      <c r="J25" s="221"/>
    </row>
    <row r="26" spans="1:10" s="206" customFormat="1" ht="18" customHeight="1">
      <c r="A26" s="219">
        <f ca="1">IF(ROWS($1:15)&gt;COUNT(Dong2),"",OFFSET(TH!C$1,SMALL(Dong2,ROWS($1:15)),))</f>
        <v>41935</v>
      </c>
      <c r="B26" s="219" t="str">
        <f ca="1">IF(ROWS($1:15)&gt;COUNT(Dong2),"",OFFSET(TH!D$1,SMALL(Dong2,ROWS($1:15)),))</f>
        <v>GBN</v>
      </c>
      <c r="C26" s="219">
        <f ca="1">IF(ROWS($1:15)&gt;COUNT(Dong2),"",OFFSET(TH!E$1,SMALL(Dong2,ROWS($1:15)),))</f>
        <v>41935</v>
      </c>
      <c r="D26" s="247" t="str">
        <f ca="1">IF(ROWS($1:15)&gt;COUNT(Dong2),"",OFFSET(TH!F$1,SMALL(Dong2,ROWS($1:15)),))</f>
        <v xml:space="preserve">VAT Phí chuyển tiền </v>
      </c>
      <c r="E26" s="247">
        <f ca="1">IF(ROWS($1:15)&gt;COUNT(Dong2),"",OFFSET(TH!G$1,SMALL(Dong2,ROWS($1:15)),))</f>
        <v>0</v>
      </c>
      <c r="F26" s="219" t="str">
        <f ca="1">IF(ROWS($1:15)&gt;COUNT(Dong2),"",IF(OFFSET(TH!K$1,SMALL(Dong2,ROWS($1:15)),)="1121",OFFSET(TH!J$1,SMALL(Dong2,ROWS($1:15)),),OFFSET(TH!K$1,SMALL(Dong2,ROWS($1:15)),)))</f>
        <v>1331</v>
      </c>
      <c r="G26" s="220">
        <f ca="1">IF(ROWS($1:15)&gt;COUNT(Dong2),"",IF(OFFSET(TH!J$1,SMALL(Dong2,ROWS($1:15)),)="1121",OFFSET(TH!I$1,SMALL(Dong2,ROWS($1:15)),),0))</f>
        <v>0</v>
      </c>
      <c r="H26" s="220">
        <f ca="1">IF(ROWS($1:15)&gt;COUNT(Dong2),"",IF(OFFSET(TH!K$1,SMALL(Dong2,ROWS($1:15)),)="1121",OFFSET(TH!I$1,SMALL(Dong2,ROWS($1:15)),),0))</f>
        <v>75000</v>
      </c>
      <c r="I26" s="221">
        <f t="shared" ca="1" si="0"/>
        <v>580275133</v>
      </c>
      <c r="J26" s="221"/>
    </row>
    <row r="27" spans="1:10" s="206" customFormat="1" ht="18" customHeight="1">
      <c r="A27" s="219">
        <f ca="1">IF(ROWS($1:16)&gt;COUNT(Dong2),"",OFFSET(TH!C$1,SMALL(Dong2,ROWS($1:16)),))</f>
        <v>41936</v>
      </c>
      <c r="B27" s="219" t="str">
        <f ca="1">IF(ROWS($1:16)&gt;COUNT(Dong2),"",OFFSET(TH!D$1,SMALL(Dong2,ROWS($1:16)),))</f>
        <v>GBC</v>
      </c>
      <c r="C27" s="219">
        <f ca="1">IF(ROWS($1:16)&gt;COUNT(Dong2),"",OFFSET(TH!E$1,SMALL(Dong2,ROWS($1:16)),))</f>
        <v>41936</v>
      </c>
      <c r="D27" s="247" t="str">
        <f ca="1">IF(ROWS($1:16)&gt;COUNT(Dong2),"",OFFSET(TH!F$1,SMALL(Dong2,ROWS($1:16)),))</f>
        <v>Lãi tiền gửi</v>
      </c>
      <c r="E27" s="247">
        <f ca="1">IF(ROWS($1:16)&gt;COUNT(Dong2),"",OFFSET(TH!G$1,SMALL(Dong2,ROWS($1:16)),))</f>
        <v>0</v>
      </c>
      <c r="F27" s="219" t="str">
        <f ca="1">IF(ROWS($1:16)&gt;COUNT(Dong2),"",IF(OFFSET(TH!K$1,SMALL(Dong2,ROWS($1:16)),)="1121",OFFSET(TH!J$1,SMALL(Dong2,ROWS($1:16)),),OFFSET(TH!K$1,SMALL(Dong2,ROWS($1:16)),)))</f>
        <v>515</v>
      </c>
      <c r="G27" s="220">
        <f ca="1">IF(ROWS($1:16)&gt;COUNT(Dong2),"",IF(OFFSET(TH!J$1,SMALL(Dong2,ROWS($1:16)),)="1121",OFFSET(TH!I$1,SMALL(Dong2,ROWS($1:16)),),0))</f>
        <v>322248</v>
      </c>
      <c r="H27" s="220">
        <f ca="1">IF(ROWS($1:16)&gt;COUNT(Dong2),"",IF(OFFSET(TH!K$1,SMALL(Dong2,ROWS($1:16)),)="1121",OFFSET(TH!I$1,SMALL(Dong2,ROWS($1:16)),),0))</f>
        <v>0</v>
      </c>
      <c r="I27" s="221">
        <f t="shared" ca="1" si="0"/>
        <v>580597381</v>
      </c>
      <c r="J27" s="221"/>
    </row>
    <row r="28" spans="1:10" s="206" customFormat="1" ht="18" customHeight="1">
      <c r="A28" s="219">
        <f ca="1">IF(ROWS($1:17)&gt;COUNT(Dong2),"",OFFSET(TH!C$1,SMALL(Dong2,ROWS($1:17)),))</f>
        <v>41942</v>
      </c>
      <c r="B28" s="219" t="str">
        <f ca="1">IF(ROWS($1:17)&gt;COUNT(Dong2),"",OFFSET(TH!D$1,SMALL(Dong2,ROWS($1:17)),))</f>
        <v>GBN</v>
      </c>
      <c r="C28" s="219">
        <f ca="1">IF(ROWS($1:17)&gt;COUNT(Dong2),"",OFFSET(TH!E$1,SMALL(Dong2,ROWS($1:17)),))</f>
        <v>41942</v>
      </c>
      <c r="D28" s="247" t="str">
        <f ca="1">IF(ROWS($1:17)&gt;COUNT(Dong2),"",OFFSET(TH!F$1,SMALL(Dong2,ROWS($1:17)),))</f>
        <v>Thanh toán tiền đá - Hồng Rõ</v>
      </c>
      <c r="E28" s="247">
        <f ca="1">IF(ROWS($1:17)&gt;COUNT(Dong2),"",OFFSET(TH!G$1,SMALL(Dong2,ROWS($1:17)),))</f>
        <v>0</v>
      </c>
      <c r="F28" s="219" t="str">
        <f ca="1">IF(ROWS($1:17)&gt;COUNT(Dong2),"",IF(OFFSET(TH!K$1,SMALL(Dong2,ROWS($1:17)),)="1121",OFFSET(TH!J$1,SMALL(Dong2,ROWS($1:17)),),OFFSET(TH!K$1,SMALL(Dong2,ROWS($1:17)),)))</f>
        <v>331</v>
      </c>
      <c r="G28" s="220">
        <f ca="1">IF(ROWS($1:17)&gt;COUNT(Dong2),"",IF(OFFSET(TH!J$1,SMALL(Dong2,ROWS($1:17)),)="1121",OFFSET(TH!I$1,SMALL(Dong2,ROWS($1:17)),),0))</f>
        <v>0</v>
      </c>
      <c r="H28" s="220">
        <f ca="1">IF(ROWS($1:17)&gt;COUNT(Dong2),"",IF(OFFSET(TH!K$1,SMALL(Dong2,ROWS($1:17)),)="1121",OFFSET(TH!I$1,SMALL(Dong2,ROWS($1:17)),),0))</f>
        <v>30800005</v>
      </c>
      <c r="I28" s="221">
        <f t="shared" ca="1" si="0"/>
        <v>549797376</v>
      </c>
      <c r="J28" s="221"/>
    </row>
    <row r="29" spans="1:10" s="206" customFormat="1" ht="18" customHeight="1">
      <c r="A29" s="219">
        <f ca="1">IF(ROWS($1:18)&gt;COUNT(Dong2),"",OFFSET(TH!C$1,SMALL(Dong2,ROWS($1:18)),))</f>
        <v>41942</v>
      </c>
      <c r="B29" s="219" t="str">
        <f ca="1">IF(ROWS($1:18)&gt;COUNT(Dong2),"",OFFSET(TH!D$1,SMALL(Dong2,ROWS($1:18)),))</f>
        <v>GBN</v>
      </c>
      <c r="C29" s="219">
        <f ca="1">IF(ROWS($1:18)&gt;COUNT(Dong2),"",OFFSET(TH!E$1,SMALL(Dong2,ROWS($1:18)),))</f>
        <v>41942</v>
      </c>
      <c r="D29" s="247" t="str">
        <f ca="1">IF(ROWS($1:18)&gt;COUNT(Dong2),"",OFFSET(TH!F$1,SMALL(Dong2,ROWS($1:18)),))</f>
        <v xml:space="preserve">Phí chuyển tiền </v>
      </c>
      <c r="E29" s="247">
        <f ca="1">IF(ROWS($1:18)&gt;COUNT(Dong2),"",OFFSET(TH!G$1,SMALL(Dong2,ROWS($1:18)),))</f>
        <v>0</v>
      </c>
      <c r="F29" s="219" t="str">
        <f ca="1">IF(ROWS($1:18)&gt;COUNT(Dong2),"",IF(OFFSET(TH!K$1,SMALL(Dong2,ROWS($1:18)),)="1121",OFFSET(TH!J$1,SMALL(Dong2,ROWS($1:18)),),OFFSET(TH!K$1,SMALL(Dong2,ROWS($1:18)),)))</f>
        <v>642</v>
      </c>
      <c r="G29" s="220">
        <f ca="1">IF(ROWS($1:18)&gt;COUNT(Dong2),"",IF(OFFSET(TH!J$1,SMALL(Dong2,ROWS($1:18)),)="1121",OFFSET(TH!I$1,SMALL(Dong2,ROWS($1:18)),),0))</f>
        <v>0</v>
      </c>
      <c r="H29" s="220">
        <f ca="1">IF(ROWS($1:18)&gt;COUNT(Dong2),"",IF(OFFSET(TH!K$1,SMALL(Dong2,ROWS($1:18)),)="1121",OFFSET(TH!I$1,SMALL(Dong2,ROWS($1:18)),),0))</f>
        <v>25000</v>
      </c>
      <c r="I29" s="221">
        <f t="shared" ca="1" si="0"/>
        <v>549772376</v>
      </c>
      <c r="J29" s="221"/>
    </row>
    <row r="30" spans="1:10" s="206" customFormat="1" ht="18" customHeight="1">
      <c r="A30" s="219">
        <f ca="1">IF(ROWS($1:19)&gt;COUNT(Dong2),"",OFFSET(TH!C$1,SMALL(Dong2,ROWS($1:19)),))</f>
        <v>41942</v>
      </c>
      <c r="B30" s="219" t="str">
        <f ca="1">IF(ROWS($1:19)&gt;COUNT(Dong2),"",OFFSET(TH!D$1,SMALL(Dong2,ROWS($1:19)),))</f>
        <v>GBN</v>
      </c>
      <c r="C30" s="219">
        <f ca="1">IF(ROWS($1:19)&gt;COUNT(Dong2),"",OFFSET(TH!E$1,SMALL(Dong2,ROWS($1:19)),))</f>
        <v>41942</v>
      </c>
      <c r="D30" s="247" t="str">
        <f ca="1">IF(ROWS($1:19)&gt;COUNT(Dong2),"",OFFSET(TH!F$1,SMALL(Dong2,ROWS($1:19)),))</f>
        <v xml:space="preserve">VAT Phí chuyển tiền </v>
      </c>
      <c r="E30" s="247">
        <f ca="1">IF(ROWS($1:19)&gt;COUNT(Dong2),"",OFFSET(TH!G$1,SMALL(Dong2,ROWS($1:19)),))</f>
        <v>0</v>
      </c>
      <c r="F30" s="219" t="str">
        <f ca="1">IF(ROWS($1:19)&gt;COUNT(Dong2),"",IF(OFFSET(TH!K$1,SMALL(Dong2,ROWS($1:19)),)="1121",OFFSET(TH!J$1,SMALL(Dong2,ROWS($1:19)),),OFFSET(TH!K$1,SMALL(Dong2,ROWS($1:19)),)))</f>
        <v>1331</v>
      </c>
      <c r="G30" s="220">
        <f ca="1">IF(ROWS($1:19)&gt;COUNT(Dong2),"",IF(OFFSET(TH!J$1,SMALL(Dong2,ROWS($1:19)),)="1121",OFFSET(TH!I$1,SMALL(Dong2,ROWS($1:19)),),0))</f>
        <v>0</v>
      </c>
      <c r="H30" s="220">
        <f ca="1">IF(ROWS($1:19)&gt;COUNT(Dong2),"",IF(OFFSET(TH!K$1,SMALL(Dong2,ROWS($1:19)),)="1121",OFFSET(TH!I$1,SMALL(Dong2,ROWS($1:19)),),0))</f>
        <v>2500</v>
      </c>
      <c r="I30" s="221">
        <f t="shared" ca="1" si="0"/>
        <v>549769876</v>
      </c>
      <c r="J30" s="221"/>
    </row>
    <row r="31" spans="1:10" s="206" customFormat="1" ht="18" customHeight="1">
      <c r="A31" s="219">
        <f ca="1">IF(ROWS($1:20)&gt;COUNT(Dong2),"",OFFSET(TH!C$1,SMALL(Dong2,ROWS($1:20)),))</f>
        <v>41942</v>
      </c>
      <c r="B31" s="219" t="str">
        <f ca="1">IF(ROWS($1:20)&gt;COUNT(Dong2),"",OFFSET(TH!D$1,SMALL(Dong2,ROWS($1:20)),))</f>
        <v>GBN</v>
      </c>
      <c r="C31" s="219">
        <f ca="1">IF(ROWS($1:20)&gt;COUNT(Dong2),"",OFFSET(TH!E$1,SMALL(Dong2,ROWS($1:20)),))</f>
        <v>41942</v>
      </c>
      <c r="D31" s="247" t="str">
        <f ca="1">IF(ROWS($1:20)&gt;COUNT(Dong2),"",OFFSET(TH!F$1,SMALL(Dong2,ROWS($1:20)),))</f>
        <v>Ứng tiền cọc betong Tân Tài</v>
      </c>
      <c r="E31" s="247">
        <f ca="1">IF(ROWS($1:20)&gt;COUNT(Dong2),"",OFFSET(TH!G$1,SMALL(Dong2,ROWS($1:20)),))</f>
        <v>0</v>
      </c>
      <c r="F31" s="219" t="str">
        <f ca="1">IF(ROWS($1:20)&gt;COUNT(Dong2),"",IF(OFFSET(TH!K$1,SMALL(Dong2,ROWS($1:20)),)="1121",OFFSET(TH!J$1,SMALL(Dong2,ROWS($1:20)),),OFFSET(TH!K$1,SMALL(Dong2,ROWS($1:20)),)))</f>
        <v>331</v>
      </c>
      <c r="G31" s="220">
        <f ca="1">IF(ROWS($1:20)&gt;COUNT(Dong2),"",IF(OFFSET(TH!J$1,SMALL(Dong2,ROWS($1:20)),)="1121",OFFSET(TH!I$1,SMALL(Dong2,ROWS($1:20)),),0))</f>
        <v>0</v>
      </c>
      <c r="H31" s="220">
        <f ca="1">IF(ROWS($1:20)&gt;COUNT(Dong2),"",IF(OFFSET(TH!K$1,SMALL(Dong2,ROWS($1:20)),)="1121",OFFSET(TH!I$1,SMALL(Dong2,ROWS($1:20)),),0))</f>
        <v>49000000</v>
      </c>
      <c r="I31" s="221">
        <f t="shared" ca="1" si="0"/>
        <v>500769876</v>
      </c>
      <c r="J31" s="221"/>
    </row>
    <row r="32" spans="1:10" s="206" customFormat="1" ht="18" customHeight="1">
      <c r="A32" s="219">
        <f ca="1">IF(ROWS($1:21)&gt;COUNT(Dong2),"",OFFSET(TH!C$1,SMALL(Dong2,ROWS($1:21)),))</f>
        <v>41942</v>
      </c>
      <c r="B32" s="219" t="str">
        <f ca="1">IF(ROWS($1:21)&gt;COUNT(Dong2),"",OFFSET(TH!D$1,SMALL(Dong2,ROWS($1:21)),))</f>
        <v>GBN</v>
      </c>
      <c r="C32" s="219">
        <f ca="1">IF(ROWS($1:21)&gt;COUNT(Dong2),"",OFFSET(TH!E$1,SMALL(Dong2,ROWS($1:21)),))</f>
        <v>41942</v>
      </c>
      <c r="D32" s="247" t="str">
        <f ca="1">IF(ROWS($1:21)&gt;COUNT(Dong2),"",OFFSET(TH!F$1,SMALL(Dong2,ROWS($1:21)),))</f>
        <v xml:space="preserve">Phí chuyển tiền </v>
      </c>
      <c r="E32" s="247">
        <f ca="1">IF(ROWS($1:21)&gt;COUNT(Dong2),"",OFFSET(TH!G$1,SMALL(Dong2,ROWS($1:21)),))</f>
        <v>0</v>
      </c>
      <c r="F32" s="219" t="str">
        <f ca="1">IF(ROWS($1:21)&gt;COUNT(Dong2),"",IF(OFFSET(TH!K$1,SMALL(Dong2,ROWS($1:21)),)="1121",OFFSET(TH!J$1,SMALL(Dong2,ROWS($1:21)),),OFFSET(TH!K$1,SMALL(Dong2,ROWS($1:21)),)))</f>
        <v>642</v>
      </c>
      <c r="G32" s="220">
        <f ca="1">IF(ROWS($1:21)&gt;COUNT(Dong2),"",IF(OFFSET(TH!J$1,SMALL(Dong2,ROWS($1:21)),)="1121",OFFSET(TH!I$1,SMALL(Dong2,ROWS($1:21)),),0))</f>
        <v>0</v>
      </c>
      <c r="H32" s="220">
        <f ca="1">IF(ROWS($1:21)&gt;COUNT(Dong2),"",IF(OFFSET(TH!K$1,SMALL(Dong2,ROWS($1:21)),)="1121",OFFSET(TH!I$1,SMALL(Dong2,ROWS($1:21)),),0))</f>
        <v>25000</v>
      </c>
      <c r="I32" s="221">
        <f t="shared" ca="1" si="0"/>
        <v>500744876</v>
      </c>
      <c r="J32" s="221"/>
    </row>
    <row r="33" spans="1:10" s="206" customFormat="1" ht="18" customHeight="1">
      <c r="A33" s="219">
        <f ca="1">IF(ROWS($1:22)&gt;COUNT(Dong2),"",OFFSET(TH!C$1,SMALL(Dong2,ROWS($1:22)),))</f>
        <v>41942</v>
      </c>
      <c r="B33" s="219" t="str">
        <f ca="1">IF(ROWS($1:22)&gt;COUNT(Dong2),"",OFFSET(TH!D$1,SMALL(Dong2,ROWS($1:22)),))</f>
        <v>GBN</v>
      </c>
      <c r="C33" s="219">
        <f ca="1">IF(ROWS($1:22)&gt;COUNT(Dong2),"",OFFSET(TH!E$1,SMALL(Dong2,ROWS($1:22)),))</f>
        <v>41942</v>
      </c>
      <c r="D33" s="247" t="str">
        <f ca="1">IF(ROWS($1:22)&gt;COUNT(Dong2),"",OFFSET(TH!F$1,SMALL(Dong2,ROWS($1:22)),))</f>
        <v xml:space="preserve">VAT Phí chuyển tiền </v>
      </c>
      <c r="E33" s="247">
        <f ca="1">IF(ROWS($1:22)&gt;COUNT(Dong2),"",OFFSET(TH!G$1,SMALL(Dong2,ROWS($1:22)),))</f>
        <v>0</v>
      </c>
      <c r="F33" s="219" t="str">
        <f ca="1">IF(ROWS($1:22)&gt;COUNT(Dong2),"",IF(OFFSET(TH!K$1,SMALL(Dong2,ROWS($1:22)),)="1121",OFFSET(TH!J$1,SMALL(Dong2,ROWS($1:22)),),OFFSET(TH!K$1,SMALL(Dong2,ROWS($1:22)),)))</f>
        <v>1331</v>
      </c>
      <c r="G33" s="220">
        <f ca="1">IF(ROWS($1:22)&gt;COUNT(Dong2),"",IF(OFFSET(TH!J$1,SMALL(Dong2,ROWS($1:22)),)="1121",OFFSET(TH!I$1,SMALL(Dong2,ROWS($1:22)),),0))</f>
        <v>0</v>
      </c>
      <c r="H33" s="220">
        <f ca="1">IF(ROWS($1:22)&gt;COUNT(Dong2),"",IF(OFFSET(TH!K$1,SMALL(Dong2,ROWS($1:22)),)="1121",OFFSET(TH!I$1,SMALL(Dong2,ROWS($1:22)),),0))</f>
        <v>2500</v>
      </c>
      <c r="I33" s="221">
        <f t="shared" ref="I33:I52" ca="1" si="1">IF(A33&lt;&gt;"",I32+G33-H33,0)</f>
        <v>500742376</v>
      </c>
      <c r="J33" s="221"/>
    </row>
    <row r="34" spans="1:10" s="206" customFormat="1" ht="18" customHeight="1">
      <c r="A34" s="219">
        <f ca="1">IF(ROWS($1:23)&gt;COUNT(Dong2),"",OFFSET(TH!C$1,SMALL(Dong2,ROWS($1:23)),))</f>
        <v>41942</v>
      </c>
      <c r="B34" s="219" t="str">
        <f ca="1">IF(ROWS($1:23)&gt;COUNT(Dong2),"",OFFSET(TH!D$1,SMALL(Dong2,ROWS($1:23)),))</f>
        <v>GBN</v>
      </c>
      <c r="C34" s="219">
        <f ca="1">IF(ROWS($1:23)&gt;COUNT(Dong2),"",OFFSET(TH!E$1,SMALL(Dong2,ROWS($1:23)),))</f>
        <v>41942</v>
      </c>
      <c r="D34" s="247" t="str">
        <f ca="1">IF(ROWS($1:23)&gt;COUNT(Dong2),"",OFFSET(TH!F$1,SMALL(Dong2,ROWS($1:23)),))</f>
        <v>Thanh toán tiền xây dựng</v>
      </c>
      <c r="E34" s="247">
        <f ca="1">IF(ROWS($1:23)&gt;COUNT(Dong2),"",OFFSET(TH!G$1,SMALL(Dong2,ROWS($1:23)),))</f>
        <v>0</v>
      </c>
      <c r="F34" s="219" t="str">
        <f ca="1">IF(ROWS($1:23)&gt;COUNT(Dong2),"",IF(OFFSET(TH!K$1,SMALL(Dong2,ROWS($1:23)),)="1121",OFFSET(TH!J$1,SMALL(Dong2,ROWS($1:23)),),OFFSET(TH!K$1,SMALL(Dong2,ROWS($1:23)),)))</f>
        <v>331</v>
      </c>
      <c r="G34" s="220">
        <f ca="1">IF(ROWS($1:23)&gt;COUNT(Dong2),"",IF(OFFSET(TH!J$1,SMALL(Dong2,ROWS($1:23)),)="1121",OFFSET(TH!I$1,SMALL(Dong2,ROWS($1:23)),),0))</f>
        <v>0</v>
      </c>
      <c r="H34" s="220">
        <f ca="1">IF(ROWS($1:23)&gt;COUNT(Dong2),"",IF(OFFSET(TH!K$1,SMALL(Dong2,ROWS($1:23)),)="1121",OFFSET(TH!I$1,SMALL(Dong2,ROWS($1:23)),),0))</f>
        <v>500000000</v>
      </c>
      <c r="I34" s="221">
        <f t="shared" ca="1" si="1"/>
        <v>742376</v>
      </c>
      <c r="J34" s="221"/>
    </row>
    <row r="35" spans="1:10" s="206" customFormat="1" ht="18" customHeight="1">
      <c r="A35" s="219">
        <f ca="1">IF(ROWS($1:24)&gt;COUNT(Dong2),"",OFFSET(TH!C$1,SMALL(Dong2,ROWS($1:24)),))</f>
        <v>41942</v>
      </c>
      <c r="B35" s="219" t="str">
        <f ca="1">IF(ROWS($1:24)&gt;COUNT(Dong2),"",OFFSET(TH!D$1,SMALL(Dong2,ROWS($1:24)),))</f>
        <v>GBN</v>
      </c>
      <c r="C35" s="219">
        <f ca="1">IF(ROWS($1:24)&gt;COUNT(Dong2),"",OFFSET(TH!E$1,SMALL(Dong2,ROWS($1:24)),))</f>
        <v>41942</v>
      </c>
      <c r="D35" s="247" t="str">
        <f ca="1">IF(ROWS($1:24)&gt;COUNT(Dong2),"",OFFSET(TH!F$1,SMALL(Dong2,ROWS($1:24)),))</f>
        <v xml:space="preserve">Phí chuyển tiền </v>
      </c>
      <c r="E35" s="247">
        <f ca="1">IF(ROWS($1:24)&gt;COUNT(Dong2),"",OFFSET(TH!G$1,SMALL(Dong2,ROWS($1:24)),))</f>
        <v>0</v>
      </c>
      <c r="F35" s="219" t="str">
        <f ca="1">IF(ROWS($1:24)&gt;COUNT(Dong2),"",IF(OFFSET(TH!K$1,SMALL(Dong2,ROWS($1:24)),)="1121",OFFSET(TH!J$1,SMALL(Dong2,ROWS($1:24)),),OFFSET(TH!K$1,SMALL(Dong2,ROWS($1:24)),)))</f>
        <v>642</v>
      </c>
      <c r="G35" s="220">
        <f ca="1">IF(ROWS($1:24)&gt;COUNT(Dong2),"",IF(OFFSET(TH!J$1,SMALL(Dong2,ROWS($1:24)),)="1121",OFFSET(TH!I$1,SMALL(Dong2,ROWS($1:24)),),0))</f>
        <v>0</v>
      </c>
      <c r="H35" s="220">
        <f ca="1">IF(ROWS($1:24)&gt;COUNT(Dong2),"",IF(OFFSET(TH!K$1,SMALL(Dong2,ROWS($1:24)),)="1121",OFFSET(TH!I$1,SMALL(Dong2,ROWS($1:24)),),0))</f>
        <v>150000</v>
      </c>
      <c r="I35" s="221">
        <f t="shared" ca="1" si="1"/>
        <v>592376</v>
      </c>
      <c r="J35" s="221"/>
    </row>
    <row r="36" spans="1:10" s="206" customFormat="1" ht="18" customHeight="1">
      <c r="A36" s="219">
        <f ca="1">IF(ROWS($1:25)&gt;COUNT(Dong2),"",OFFSET(TH!C$1,SMALL(Dong2,ROWS($1:25)),))</f>
        <v>41942</v>
      </c>
      <c r="B36" s="219" t="str">
        <f ca="1">IF(ROWS($1:25)&gt;COUNT(Dong2),"",OFFSET(TH!D$1,SMALL(Dong2,ROWS($1:25)),))</f>
        <v>GBN</v>
      </c>
      <c r="C36" s="219">
        <f ca="1">IF(ROWS($1:25)&gt;COUNT(Dong2),"",OFFSET(TH!E$1,SMALL(Dong2,ROWS($1:25)),))</f>
        <v>41942</v>
      </c>
      <c r="D36" s="247" t="str">
        <f ca="1">IF(ROWS($1:25)&gt;COUNT(Dong2),"",OFFSET(TH!F$1,SMALL(Dong2,ROWS($1:25)),))</f>
        <v xml:space="preserve">VAT Phí chuyển tiền </v>
      </c>
      <c r="E36" s="247">
        <f ca="1">IF(ROWS($1:25)&gt;COUNT(Dong2),"",OFFSET(TH!G$1,SMALL(Dong2,ROWS($1:25)),))</f>
        <v>0</v>
      </c>
      <c r="F36" s="219" t="str">
        <f ca="1">IF(ROWS($1:25)&gt;COUNT(Dong2),"",IF(OFFSET(TH!K$1,SMALL(Dong2,ROWS($1:25)),)="1121",OFFSET(TH!J$1,SMALL(Dong2,ROWS($1:25)),),OFFSET(TH!K$1,SMALL(Dong2,ROWS($1:25)),)))</f>
        <v>1331</v>
      </c>
      <c r="G36" s="220">
        <f ca="1">IF(ROWS($1:25)&gt;COUNT(Dong2),"",IF(OFFSET(TH!J$1,SMALL(Dong2,ROWS($1:25)),)="1121",OFFSET(TH!I$1,SMALL(Dong2,ROWS($1:25)),),0))</f>
        <v>0</v>
      </c>
      <c r="H36" s="220">
        <f ca="1">IF(ROWS($1:25)&gt;COUNT(Dong2),"",IF(OFFSET(TH!K$1,SMALL(Dong2,ROWS($1:25)),)="1121",OFFSET(TH!I$1,SMALL(Dong2,ROWS($1:25)),),0))</f>
        <v>15000</v>
      </c>
      <c r="I36" s="221">
        <f t="shared" ca="1" si="1"/>
        <v>577376</v>
      </c>
      <c r="J36" s="221"/>
    </row>
    <row r="37" spans="1:10" s="206" customFormat="1" ht="18" customHeight="1">
      <c r="A37" s="219">
        <f ca="1">IF(ROWS($1:26)&gt;COUNT(Dong2),"",OFFSET(TH!C$1,SMALL(Dong2,ROWS($1:26)),))</f>
        <v>41963</v>
      </c>
      <c r="B37" s="219" t="str">
        <f ca="1">IF(ROWS($1:26)&gt;COUNT(Dong2),"",OFFSET(TH!D$1,SMALL(Dong2,ROWS($1:26)),))</f>
        <v>GBC</v>
      </c>
      <c r="C37" s="219">
        <f ca="1">IF(ROWS($1:26)&gt;COUNT(Dong2),"",OFFSET(TH!E$1,SMALL(Dong2,ROWS($1:26)),))</f>
        <v>41963</v>
      </c>
      <c r="D37" s="247" t="str">
        <f ca="1">IF(ROWS($1:26)&gt;COUNT(Dong2),"",OFFSET(TH!F$1,SMALL(Dong2,ROWS($1:26)),))</f>
        <v>An Lạc LA- Ứng vốn</v>
      </c>
      <c r="E37" s="247">
        <f ca="1">IF(ROWS($1:26)&gt;COUNT(Dong2),"",OFFSET(TH!G$1,SMALL(Dong2,ROWS($1:26)),))</f>
        <v>0</v>
      </c>
      <c r="F37" s="219" t="str">
        <f ca="1">IF(ROWS($1:26)&gt;COUNT(Dong2),"",IF(OFFSET(TH!K$1,SMALL(Dong2,ROWS($1:26)),)="1121",OFFSET(TH!J$1,SMALL(Dong2,ROWS($1:26)),),OFFSET(TH!K$1,SMALL(Dong2,ROWS($1:26)),)))</f>
        <v>3388</v>
      </c>
      <c r="G37" s="220">
        <f ca="1">IF(ROWS($1:26)&gt;COUNT(Dong2),"",IF(OFFSET(TH!J$1,SMALL(Dong2,ROWS($1:26)),)="1121",OFFSET(TH!I$1,SMALL(Dong2,ROWS($1:26)),),0))</f>
        <v>40500000</v>
      </c>
      <c r="H37" s="220">
        <f ca="1">IF(ROWS($1:26)&gt;COUNT(Dong2),"",IF(OFFSET(TH!K$1,SMALL(Dong2,ROWS($1:26)),)="1121",OFFSET(TH!I$1,SMALL(Dong2,ROWS($1:26)),),0))</f>
        <v>0</v>
      </c>
      <c r="I37" s="221">
        <f t="shared" ca="1" si="1"/>
        <v>41077376</v>
      </c>
      <c r="J37" s="221"/>
    </row>
    <row r="38" spans="1:10" s="206" customFormat="1" ht="18" customHeight="1">
      <c r="A38" s="219">
        <f ca="1">IF(ROWS($1:27)&gt;COUNT(Dong2),"",OFFSET(TH!C$1,SMALL(Dong2,ROWS($1:27)),))</f>
        <v>41963</v>
      </c>
      <c r="B38" s="219" t="str">
        <f ca="1">IF(ROWS($1:27)&gt;COUNT(Dong2),"",OFFSET(TH!D$1,SMALL(Dong2,ROWS($1:27)),))</f>
        <v>GBN</v>
      </c>
      <c r="C38" s="219">
        <f ca="1">IF(ROWS($1:27)&gt;COUNT(Dong2),"",OFFSET(TH!E$1,SMALL(Dong2,ROWS($1:27)),))</f>
        <v>41963</v>
      </c>
      <c r="D38" s="247" t="str">
        <f ca="1">IF(ROWS($1:27)&gt;COUNT(Dong2),"",OFFSET(TH!F$1,SMALL(Dong2,ROWS($1:27)),))</f>
        <v xml:space="preserve">Lãi vay KU 1402LDS201401630 </v>
      </c>
      <c r="E38" s="247">
        <f ca="1">IF(ROWS($1:27)&gt;COUNT(Dong2),"",OFFSET(TH!G$1,SMALL(Dong2,ROWS($1:27)),))</f>
        <v>0</v>
      </c>
      <c r="F38" s="219" t="str">
        <f ca="1">IF(ROWS($1:27)&gt;COUNT(Dong2),"",IF(OFFSET(TH!K$1,SMALL(Dong2,ROWS($1:27)),)="1121",OFFSET(TH!J$1,SMALL(Dong2,ROWS($1:27)),),OFFSET(TH!K$1,SMALL(Dong2,ROWS($1:27)),)))</f>
        <v>635</v>
      </c>
      <c r="G38" s="220">
        <f ca="1">IF(ROWS($1:27)&gt;COUNT(Dong2),"",IF(OFFSET(TH!J$1,SMALL(Dong2,ROWS($1:27)),)="1121",OFFSET(TH!I$1,SMALL(Dong2,ROWS($1:27)),),0))</f>
        <v>0</v>
      </c>
      <c r="H38" s="220">
        <f ca="1">IF(ROWS($1:27)&gt;COUNT(Dong2),"",IF(OFFSET(TH!K$1,SMALL(Dong2,ROWS($1:27)),)="1121",OFFSET(TH!I$1,SMALL(Dong2,ROWS($1:27)),),0))</f>
        <v>8614699</v>
      </c>
      <c r="I38" s="221">
        <f t="shared" ca="1" si="1"/>
        <v>32462677</v>
      </c>
      <c r="J38" s="221"/>
    </row>
    <row r="39" spans="1:10" s="206" customFormat="1" ht="18" customHeight="1">
      <c r="A39" s="219">
        <f ca="1">IF(ROWS($1:28)&gt;COUNT(Dong2),"",OFFSET(TH!C$1,SMALL(Dong2,ROWS($1:28)),))</f>
        <v>41963</v>
      </c>
      <c r="B39" s="219" t="str">
        <f ca="1">IF(ROWS($1:28)&gt;COUNT(Dong2),"",OFFSET(TH!D$1,SMALL(Dong2,ROWS($1:28)),))</f>
        <v>GBN</v>
      </c>
      <c r="C39" s="219">
        <f ca="1">IF(ROWS($1:28)&gt;COUNT(Dong2),"",OFFSET(TH!E$1,SMALL(Dong2,ROWS($1:28)),))</f>
        <v>41963</v>
      </c>
      <c r="D39" s="247" t="str">
        <f ca="1">IF(ROWS($1:28)&gt;COUNT(Dong2),"",OFFSET(TH!F$1,SMALL(Dong2,ROWS($1:28)),))</f>
        <v>Lãi vay KU 1402LDS201402000</v>
      </c>
      <c r="E39" s="247">
        <f ca="1">IF(ROWS($1:28)&gt;COUNT(Dong2),"",OFFSET(TH!G$1,SMALL(Dong2,ROWS($1:28)),))</f>
        <v>0</v>
      </c>
      <c r="F39" s="219" t="str">
        <f ca="1">IF(ROWS($1:28)&gt;COUNT(Dong2),"",IF(OFFSET(TH!K$1,SMALL(Dong2,ROWS($1:28)),)="1121",OFFSET(TH!J$1,SMALL(Dong2,ROWS($1:28)),),OFFSET(TH!K$1,SMALL(Dong2,ROWS($1:28)),)))</f>
        <v>635</v>
      </c>
      <c r="G39" s="220">
        <f ca="1">IF(ROWS($1:28)&gt;COUNT(Dong2),"",IF(OFFSET(TH!J$1,SMALL(Dong2,ROWS($1:28)),)="1121",OFFSET(TH!I$1,SMALL(Dong2,ROWS($1:28)),),0))</f>
        <v>0</v>
      </c>
      <c r="H39" s="220">
        <f ca="1">IF(ROWS($1:28)&gt;COUNT(Dong2),"",IF(OFFSET(TH!K$1,SMALL(Dong2,ROWS($1:28)),)="1121",OFFSET(TH!I$1,SMALL(Dong2,ROWS($1:28)),),0))</f>
        <v>31679861</v>
      </c>
      <c r="I39" s="221">
        <f t="shared" ca="1" si="1"/>
        <v>782816</v>
      </c>
      <c r="J39" s="221"/>
    </row>
    <row r="40" spans="1:10" s="206" customFormat="1" ht="18" customHeight="1">
      <c r="A40" s="219">
        <f ca="1">IF(ROWS($1:29)&gt;COUNT(Dong2),"",OFFSET(TH!C$1,SMALL(Dong2,ROWS($1:29)),))</f>
        <v>41963</v>
      </c>
      <c r="B40" s="219" t="str">
        <f ca="1">IF(ROWS($1:29)&gt;COUNT(Dong2),"",OFFSET(TH!D$1,SMALL(Dong2,ROWS($1:29)),))</f>
        <v>GBN</v>
      </c>
      <c r="C40" s="219">
        <f ca="1">IF(ROWS($1:29)&gt;COUNT(Dong2),"",OFFSET(TH!E$1,SMALL(Dong2,ROWS($1:29)),))</f>
        <v>41963</v>
      </c>
      <c r="D40" s="247" t="str">
        <f ca="1">IF(ROWS($1:29)&gt;COUNT(Dong2),"",OFFSET(TH!F$1,SMALL(Dong2,ROWS($1:29)),))</f>
        <v>Thanh toán tiền xây dựng - Khánh Trân</v>
      </c>
      <c r="E40" s="247">
        <f ca="1">IF(ROWS($1:29)&gt;COUNT(Dong2),"",OFFSET(TH!G$1,SMALL(Dong2,ROWS($1:29)),))</f>
        <v>0</v>
      </c>
      <c r="F40" s="219" t="str">
        <f ca="1">IF(ROWS($1:29)&gt;COUNT(Dong2),"",IF(OFFSET(TH!K$1,SMALL(Dong2,ROWS($1:29)),)="1121",OFFSET(TH!J$1,SMALL(Dong2,ROWS($1:29)),),OFFSET(TH!K$1,SMALL(Dong2,ROWS($1:29)),)))</f>
        <v>331</v>
      </c>
      <c r="G40" s="220">
        <f ca="1">IF(ROWS($1:29)&gt;COUNT(Dong2),"",IF(OFFSET(TH!J$1,SMALL(Dong2,ROWS($1:29)),)="1121",OFFSET(TH!I$1,SMALL(Dong2,ROWS($1:29)),),0))</f>
        <v>0</v>
      </c>
      <c r="H40" s="220">
        <f ca="1">IF(ROWS($1:29)&gt;COUNT(Dong2),"",IF(OFFSET(TH!K$1,SMALL(Dong2,ROWS($1:29)),)="1121",OFFSET(TH!I$1,SMALL(Dong2,ROWS($1:29)),),0))</f>
        <v>1000000000</v>
      </c>
      <c r="I40" s="221">
        <f t="shared" ca="1" si="1"/>
        <v>-999217184</v>
      </c>
      <c r="J40" s="221"/>
    </row>
    <row r="41" spans="1:10" s="206" customFormat="1" ht="18" customHeight="1">
      <c r="A41" s="219">
        <f ca="1">IF(ROWS($1:30)&gt;COUNT(Dong2),"",OFFSET(TH!C$1,SMALL(Dong2,ROWS($1:30)),))</f>
        <v>41963</v>
      </c>
      <c r="B41" s="219" t="str">
        <f ca="1">IF(ROWS($1:30)&gt;COUNT(Dong2),"",OFFSET(TH!D$1,SMALL(Dong2,ROWS($1:30)),))</f>
        <v>GBN</v>
      </c>
      <c r="C41" s="219">
        <f ca="1">IF(ROWS($1:30)&gt;COUNT(Dong2),"",OFFSET(TH!E$1,SMALL(Dong2,ROWS($1:30)),))</f>
        <v>41963</v>
      </c>
      <c r="D41" s="247" t="str">
        <f ca="1">IF(ROWS($1:30)&gt;COUNT(Dong2),"",OFFSET(TH!F$1,SMALL(Dong2,ROWS($1:30)),))</f>
        <v xml:space="preserve">Phí chuyển tiền </v>
      </c>
      <c r="E41" s="247">
        <f ca="1">IF(ROWS($1:30)&gt;COUNT(Dong2),"",OFFSET(TH!G$1,SMALL(Dong2,ROWS($1:30)),))</f>
        <v>0</v>
      </c>
      <c r="F41" s="219" t="str">
        <f ca="1">IF(ROWS($1:30)&gt;COUNT(Dong2),"",IF(OFFSET(TH!K$1,SMALL(Dong2,ROWS($1:30)),)="1121",OFFSET(TH!J$1,SMALL(Dong2,ROWS($1:30)),),OFFSET(TH!K$1,SMALL(Dong2,ROWS($1:30)),)))</f>
        <v>642</v>
      </c>
      <c r="G41" s="220">
        <f ca="1">IF(ROWS($1:30)&gt;COUNT(Dong2),"",IF(OFFSET(TH!J$1,SMALL(Dong2,ROWS($1:30)),)="1121",OFFSET(TH!I$1,SMALL(Dong2,ROWS($1:30)),),0))</f>
        <v>0</v>
      </c>
      <c r="H41" s="220">
        <f ca="1">IF(ROWS($1:30)&gt;COUNT(Dong2),"",IF(OFFSET(TH!K$1,SMALL(Dong2,ROWS($1:30)),)="1121",OFFSET(TH!I$1,SMALL(Dong2,ROWS($1:30)),),0))</f>
        <v>500000</v>
      </c>
      <c r="I41" s="221">
        <f t="shared" ca="1" si="1"/>
        <v>-999717184</v>
      </c>
      <c r="J41" s="221"/>
    </row>
    <row r="42" spans="1:10" s="206" customFormat="1" ht="18" customHeight="1">
      <c r="A42" s="219">
        <f ca="1">IF(ROWS($1:31)&gt;COUNT(Dong2),"",OFFSET(TH!C$1,SMALL(Dong2,ROWS($1:31)),))</f>
        <v>41963</v>
      </c>
      <c r="B42" s="219" t="str">
        <f ca="1">IF(ROWS($1:31)&gt;COUNT(Dong2),"",OFFSET(TH!D$1,SMALL(Dong2,ROWS($1:31)),))</f>
        <v>GBN</v>
      </c>
      <c r="C42" s="219">
        <f ca="1">IF(ROWS($1:31)&gt;COUNT(Dong2),"",OFFSET(TH!E$1,SMALL(Dong2,ROWS($1:31)),))</f>
        <v>41963</v>
      </c>
      <c r="D42" s="247" t="str">
        <f ca="1">IF(ROWS($1:31)&gt;COUNT(Dong2),"",OFFSET(TH!F$1,SMALL(Dong2,ROWS($1:31)),))</f>
        <v xml:space="preserve">VAT Phí chuyển tiền </v>
      </c>
      <c r="E42" s="247">
        <f ca="1">IF(ROWS($1:31)&gt;COUNT(Dong2),"",OFFSET(TH!G$1,SMALL(Dong2,ROWS($1:31)),))</f>
        <v>0</v>
      </c>
      <c r="F42" s="219" t="str">
        <f ca="1">IF(ROWS($1:31)&gt;COUNT(Dong2),"",IF(OFFSET(TH!K$1,SMALL(Dong2,ROWS($1:31)),)="1121",OFFSET(TH!J$1,SMALL(Dong2,ROWS($1:31)),),OFFSET(TH!K$1,SMALL(Dong2,ROWS($1:31)),)))</f>
        <v>1331</v>
      </c>
      <c r="G42" s="220">
        <f ca="1">IF(ROWS($1:31)&gt;COUNT(Dong2),"",IF(OFFSET(TH!J$1,SMALL(Dong2,ROWS($1:31)),)="1121",OFFSET(TH!I$1,SMALL(Dong2,ROWS($1:31)),),0))</f>
        <v>0</v>
      </c>
      <c r="H42" s="220">
        <f ca="1">IF(ROWS($1:31)&gt;COUNT(Dong2),"",IF(OFFSET(TH!K$1,SMALL(Dong2,ROWS($1:31)),)="1121",OFFSET(TH!I$1,SMALL(Dong2,ROWS($1:31)),),0))</f>
        <v>50000</v>
      </c>
      <c r="I42" s="221">
        <f t="shared" ca="1" si="1"/>
        <v>-999767184</v>
      </c>
      <c r="J42" s="221"/>
    </row>
    <row r="43" spans="1:10" s="206" customFormat="1" ht="18" customHeight="1">
      <c r="A43" s="219">
        <f ca="1">IF(ROWS($1:32)&gt;COUNT(Dong2),"",OFFSET(TH!C$1,SMALL(Dong2,ROWS($1:32)),))</f>
        <v>41963</v>
      </c>
      <c r="B43" s="219" t="str">
        <f ca="1">IF(ROWS($1:32)&gt;COUNT(Dong2),"",OFFSET(TH!D$1,SMALL(Dong2,ROWS($1:32)),))</f>
        <v>GBC</v>
      </c>
      <c r="C43" s="219">
        <f ca="1">IF(ROWS($1:32)&gt;COUNT(Dong2),"",OFFSET(TH!E$1,SMALL(Dong2,ROWS($1:32)),))</f>
        <v>41963</v>
      </c>
      <c r="D43" s="247" t="str">
        <f ca="1">IF(ROWS($1:32)&gt;COUNT(Dong2),"",OFFSET(TH!F$1,SMALL(Dong2,ROWS($1:32)),))</f>
        <v>Vay KU 1402LDS201402740</v>
      </c>
      <c r="E43" s="247">
        <f ca="1">IF(ROWS($1:32)&gt;COUNT(Dong2),"",OFFSET(TH!G$1,SMALL(Dong2,ROWS($1:32)),))</f>
        <v>0</v>
      </c>
      <c r="F43" s="219" t="str">
        <f ca="1">IF(ROWS($1:32)&gt;COUNT(Dong2),"",IF(OFFSET(TH!K$1,SMALL(Dong2,ROWS($1:32)),)="1121",OFFSET(TH!J$1,SMALL(Dong2,ROWS($1:32)),),OFFSET(TH!K$1,SMALL(Dong2,ROWS($1:32)),)))</f>
        <v>3411</v>
      </c>
      <c r="G43" s="220">
        <f ca="1">IF(ROWS($1:32)&gt;COUNT(Dong2),"",IF(OFFSET(TH!J$1,SMALL(Dong2,ROWS($1:32)),)="1121",OFFSET(TH!I$1,SMALL(Dong2,ROWS($1:32)),),0))</f>
        <v>1500000000</v>
      </c>
      <c r="H43" s="220">
        <f ca="1">IF(ROWS($1:32)&gt;COUNT(Dong2),"",IF(OFFSET(TH!K$1,SMALL(Dong2,ROWS($1:32)),)="1121",OFFSET(TH!I$1,SMALL(Dong2,ROWS($1:32)),),0))</f>
        <v>0</v>
      </c>
      <c r="I43" s="221">
        <f t="shared" ca="1" si="1"/>
        <v>500232816</v>
      </c>
      <c r="J43" s="221"/>
    </row>
    <row r="44" spans="1:10" s="206" customFormat="1" ht="18" customHeight="1">
      <c r="A44" s="219">
        <f ca="1">IF(ROWS($1:33)&gt;COUNT(Dong2),"",OFFSET(TH!C$1,SMALL(Dong2,ROWS($1:33)),))</f>
        <v>41968</v>
      </c>
      <c r="B44" s="219" t="str">
        <f ca="1">IF(ROWS($1:33)&gt;COUNT(Dong2),"",OFFSET(TH!D$1,SMALL(Dong2,ROWS($1:33)),))</f>
        <v>GBC</v>
      </c>
      <c r="C44" s="219">
        <f ca="1">IF(ROWS($1:33)&gt;COUNT(Dong2),"",OFFSET(TH!E$1,SMALL(Dong2,ROWS($1:33)),))</f>
        <v>41968</v>
      </c>
      <c r="D44" s="247" t="str">
        <f ca="1">IF(ROWS($1:33)&gt;COUNT(Dong2),"",OFFSET(TH!F$1,SMALL(Dong2,ROWS($1:33)),))</f>
        <v>Lãi tiền gửi</v>
      </c>
      <c r="E44" s="247">
        <f ca="1">IF(ROWS($1:33)&gt;COUNT(Dong2),"",OFFSET(TH!G$1,SMALL(Dong2,ROWS($1:33)),))</f>
        <v>0</v>
      </c>
      <c r="F44" s="219" t="str">
        <f ca="1">IF(ROWS($1:33)&gt;COUNT(Dong2),"",IF(OFFSET(TH!K$1,SMALL(Dong2,ROWS($1:33)),)="1121",OFFSET(TH!J$1,SMALL(Dong2,ROWS($1:33)),),OFFSET(TH!K$1,SMALL(Dong2,ROWS($1:33)),)))</f>
        <v>515</v>
      </c>
      <c r="G44" s="220">
        <f ca="1">IF(ROWS($1:33)&gt;COUNT(Dong2),"",IF(OFFSET(TH!J$1,SMALL(Dong2,ROWS($1:33)),)="1121",OFFSET(TH!I$1,SMALL(Dong2,ROWS($1:33)),),0))</f>
        <v>61267</v>
      </c>
      <c r="H44" s="220">
        <f ca="1">IF(ROWS($1:33)&gt;COUNT(Dong2),"",IF(OFFSET(TH!K$1,SMALL(Dong2,ROWS($1:33)),)="1121",OFFSET(TH!I$1,SMALL(Dong2,ROWS($1:33)),),0))</f>
        <v>0</v>
      </c>
      <c r="I44" s="221">
        <f t="shared" ca="1" si="1"/>
        <v>500294083</v>
      </c>
      <c r="J44" s="221"/>
    </row>
    <row r="45" spans="1:10" s="206" customFormat="1" ht="18" customHeight="1">
      <c r="A45" s="219">
        <f ca="1">IF(ROWS($1:34)&gt;COUNT(Dong2),"",OFFSET(TH!C$1,SMALL(Dong2,ROWS($1:34)),))</f>
        <v>41984</v>
      </c>
      <c r="B45" s="219" t="str">
        <f ca="1">IF(ROWS($1:34)&gt;COUNT(Dong2),"",OFFSET(TH!D$1,SMALL(Dong2,ROWS($1:34)),))</f>
        <v>GBN</v>
      </c>
      <c r="C45" s="219">
        <f ca="1">IF(ROWS($1:34)&gt;COUNT(Dong2),"",OFFSET(TH!E$1,SMALL(Dong2,ROWS($1:34)),))</f>
        <v>41984</v>
      </c>
      <c r="D45" s="247" t="str">
        <f ca="1">IF(ROWS($1:34)&gt;COUNT(Dong2),"",OFFSET(TH!F$1,SMALL(Dong2,ROWS($1:34)),))</f>
        <v>Thanh toán tiền xây dựng - Khánh Trân</v>
      </c>
      <c r="E45" s="247">
        <f ca="1">IF(ROWS($1:34)&gt;COUNT(Dong2),"",OFFSET(TH!G$1,SMALL(Dong2,ROWS($1:34)),))</f>
        <v>0</v>
      </c>
      <c r="F45" s="219" t="str">
        <f ca="1">IF(ROWS($1:34)&gt;COUNT(Dong2),"",IF(OFFSET(TH!K$1,SMALL(Dong2,ROWS($1:34)),)="1121",OFFSET(TH!J$1,SMALL(Dong2,ROWS($1:34)),),OFFSET(TH!K$1,SMALL(Dong2,ROWS($1:34)),)))</f>
        <v>331</v>
      </c>
      <c r="G45" s="220">
        <f ca="1">IF(ROWS($1:34)&gt;COUNT(Dong2),"",IF(OFFSET(TH!J$1,SMALL(Dong2,ROWS($1:34)),)="1121",OFFSET(TH!I$1,SMALL(Dong2,ROWS($1:34)),),0))</f>
        <v>0</v>
      </c>
      <c r="H45" s="220">
        <f ca="1">IF(ROWS($1:34)&gt;COUNT(Dong2),"",IF(OFFSET(TH!K$1,SMALL(Dong2,ROWS($1:34)),)="1121",OFFSET(TH!I$1,SMALL(Dong2,ROWS($1:34)),),0))</f>
        <v>1000000000</v>
      </c>
      <c r="I45" s="221">
        <f t="shared" ca="1" si="1"/>
        <v>-499705917</v>
      </c>
      <c r="J45" s="221"/>
    </row>
    <row r="46" spans="1:10" s="206" customFormat="1" ht="18" customHeight="1">
      <c r="A46" s="219">
        <f ca="1">IF(ROWS($1:35)&gt;COUNT(Dong2),"",OFFSET(TH!C$1,SMALL(Dong2,ROWS($1:35)),))</f>
        <v>41984</v>
      </c>
      <c r="B46" s="219" t="str">
        <f ca="1">IF(ROWS($1:35)&gt;COUNT(Dong2),"",OFFSET(TH!D$1,SMALL(Dong2,ROWS($1:35)),))</f>
        <v>GBC</v>
      </c>
      <c r="C46" s="219">
        <f ca="1">IF(ROWS($1:35)&gt;COUNT(Dong2),"",OFFSET(TH!E$1,SMALL(Dong2,ROWS($1:35)),))</f>
        <v>41984</v>
      </c>
      <c r="D46" s="247" t="str">
        <f ca="1">IF(ROWS($1:35)&gt;COUNT(Dong2),"",OFFSET(TH!F$1,SMALL(Dong2,ROWS($1:35)),))</f>
        <v>Vay KU 1402LDS201403045</v>
      </c>
      <c r="E46" s="247">
        <f ca="1">IF(ROWS($1:35)&gt;COUNT(Dong2),"",OFFSET(TH!G$1,SMALL(Dong2,ROWS($1:35)),))</f>
        <v>0</v>
      </c>
      <c r="F46" s="219" t="str">
        <f ca="1">IF(ROWS($1:35)&gt;COUNT(Dong2),"",IF(OFFSET(TH!K$1,SMALL(Dong2,ROWS($1:35)),)="1121",OFFSET(TH!J$1,SMALL(Dong2,ROWS($1:35)),),OFFSET(TH!K$1,SMALL(Dong2,ROWS($1:35)),)))</f>
        <v>3411</v>
      </c>
      <c r="G46" s="220">
        <f ca="1">IF(ROWS($1:35)&gt;COUNT(Dong2),"",IF(OFFSET(TH!J$1,SMALL(Dong2,ROWS($1:35)),)="1121",OFFSET(TH!I$1,SMALL(Dong2,ROWS($1:35)),),0))</f>
        <v>1000000000</v>
      </c>
      <c r="H46" s="220">
        <f ca="1">IF(ROWS($1:35)&gt;COUNT(Dong2),"",IF(OFFSET(TH!K$1,SMALL(Dong2,ROWS($1:35)),)="1121",OFFSET(TH!I$1,SMALL(Dong2,ROWS($1:35)),),0))</f>
        <v>0</v>
      </c>
      <c r="I46" s="221">
        <f t="shared" ca="1" si="1"/>
        <v>500294083</v>
      </c>
      <c r="J46" s="221"/>
    </row>
    <row r="47" spans="1:10" s="206" customFormat="1" ht="18" customHeight="1">
      <c r="A47" s="219">
        <f ca="1">IF(ROWS($1:36)&gt;COUNT(Dong2),"",OFFSET(TH!C$1,SMALL(Dong2,ROWS($1:36)),))</f>
        <v>41993</v>
      </c>
      <c r="B47" s="219" t="str">
        <f ca="1">IF(ROWS($1:36)&gt;COUNT(Dong2),"",OFFSET(TH!D$1,SMALL(Dong2,ROWS($1:36)),))</f>
        <v>GBN</v>
      </c>
      <c r="C47" s="219">
        <f ca="1">IF(ROWS($1:36)&gt;COUNT(Dong2),"",OFFSET(TH!E$1,SMALL(Dong2,ROWS($1:36)),))</f>
        <v>41993</v>
      </c>
      <c r="D47" s="247" t="str">
        <f ca="1">IF(ROWS($1:36)&gt;COUNT(Dong2),"",OFFSET(TH!F$1,SMALL(Dong2,ROWS($1:36)),))</f>
        <v>Lãi vay KU 1402LDS201401630</v>
      </c>
      <c r="E47" s="247">
        <f ca="1">IF(ROWS($1:36)&gt;COUNT(Dong2),"",OFFSET(TH!G$1,SMALL(Dong2,ROWS($1:36)),))</f>
        <v>0</v>
      </c>
      <c r="F47" s="219" t="str">
        <f ca="1">IF(ROWS($1:36)&gt;COUNT(Dong2),"",IF(OFFSET(TH!K$1,SMALL(Dong2,ROWS($1:36)),)="1121",OFFSET(TH!J$1,SMALL(Dong2,ROWS($1:36)),),OFFSET(TH!K$1,SMALL(Dong2,ROWS($1:36)),)))</f>
        <v>635</v>
      </c>
      <c r="G47" s="220">
        <f ca="1">IF(ROWS($1:36)&gt;COUNT(Dong2),"",IF(OFFSET(TH!J$1,SMALL(Dong2,ROWS($1:36)),)="1121",OFFSET(TH!I$1,SMALL(Dong2,ROWS($1:36)),),0))</f>
        <v>0</v>
      </c>
      <c r="H47" s="220">
        <f ca="1">IF(ROWS($1:36)&gt;COUNT(Dong2),"",IF(OFFSET(TH!K$1,SMALL(Dong2,ROWS($1:36)),)="1121",OFFSET(TH!I$1,SMALL(Dong2,ROWS($1:36)),),0))</f>
        <v>8336805</v>
      </c>
      <c r="I47" s="221">
        <f t="shared" ca="1" si="1"/>
        <v>491957278</v>
      </c>
      <c r="J47" s="221"/>
    </row>
    <row r="48" spans="1:10" s="206" customFormat="1" ht="18" customHeight="1">
      <c r="A48" s="219">
        <f ca="1">IF(ROWS($1:37)&gt;COUNT(Dong2),"",OFFSET(TH!C$1,SMALL(Dong2,ROWS($1:37)),))</f>
        <v>41993</v>
      </c>
      <c r="B48" s="219" t="str">
        <f ca="1">IF(ROWS($1:37)&gt;COUNT(Dong2),"",OFFSET(TH!D$1,SMALL(Dong2,ROWS($1:37)),))</f>
        <v>GBN</v>
      </c>
      <c r="C48" s="219">
        <f ca="1">IF(ROWS($1:37)&gt;COUNT(Dong2),"",OFFSET(TH!E$1,SMALL(Dong2,ROWS($1:37)),))</f>
        <v>41993</v>
      </c>
      <c r="D48" s="247" t="str">
        <f ca="1">IF(ROWS($1:37)&gt;COUNT(Dong2),"",OFFSET(TH!F$1,SMALL(Dong2,ROWS($1:37)),))</f>
        <v>Lãi vay KU 1402LDS201402000</v>
      </c>
      <c r="E48" s="247">
        <f ca="1">IF(ROWS($1:37)&gt;COUNT(Dong2),"",OFFSET(TH!G$1,SMALL(Dong2,ROWS($1:37)),))</f>
        <v>0</v>
      </c>
      <c r="F48" s="219" t="str">
        <f ca="1">IF(ROWS($1:37)&gt;COUNT(Dong2),"",IF(OFFSET(TH!K$1,SMALL(Dong2,ROWS($1:37)),)="1121",OFFSET(TH!J$1,SMALL(Dong2,ROWS($1:37)),),OFFSET(TH!K$1,SMALL(Dong2,ROWS($1:37)),)))</f>
        <v>635</v>
      </c>
      <c r="G48" s="220">
        <f ca="1">IF(ROWS($1:37)&gt;COUNT(Dong2),"",IF(OFFSET(TH!J$1,SMALL(Dong2,ROWS($1:37)),)="1121",OFFSET(TH!I$1,SMALL(Dong2,ROWS($1:37)),),0))</f>
        <v>0</v>
      </c>
      <c r="H48" s="220">
        <f ca="1">IF(ROWS($1:37)&gt;COUNT(Dong2),"",IF(OFFSET(TH!K$1,SMALL(Dong2,ROWS($1:37)),)="1121",OFFSET(TH!I$1,SMALL(Dong2,ROWS($1:37)),),0))</f>
        <v>16673611</v>
      </c>
      <c r="I48" s="221">
        <f t="shared" ca="1" si="1"/>
        <v>475283667</v>
      </c>
      <c r="J48" s="221"/>
    </row>
    <row r="49" spans="1:10" s="206" customFormat="1" ht="18" customHeight="1">
      <c r="A49" s="219">
        <f ca="1">IF(ROWS($1:38)&gt;COUNT(Dong2),"",OFFSET(TH!C$1,SMALL(Dong2,ROWS($1:38)),))</f>
        <v>41993</v>
      </c>
      <c r="B49" s="219" t="str">
        <f ca="1">IF(ROWS($1:38)&gt;COUNT(Dong2),"",OFFSET(TH!D$1,SMALL(Dong2,ROWS($1:38)),))</f>
        <v>GBN</v>
      </c>
      <c r="C49" s="219">
        <f ca="1">IF(ROWS($1:38)&gt;COUNT(Dong2),"",OFFSET(TH!E$1,SMALL(Dong2,ROWS($1:38)),))</f>
        <v>41993</v>
      </c>
      <c r="D49" s="247" t="str">
        <f ca="1">IF(ROWS($1:38)&gt;COUNT(Dong2),"",OFFSET(TH!F$1,SMALL(Dong2,ROWS($1:38)),))</f>
        <v>Lãi vay KU 1402LDS201402374</v>
      </c>
      <c r="E49" s="247">
        <f ca="1">IF(ROWS($1:38)&gt;COUNT(Dong2),"",OFFSET(TH!G$1,SMALL(Dong2,ROWS($1:38)),))</f>
        <v>0</v>
      </c>
      <c r="F49" s="219" t="str">
        <f ca="1">IF(ROWS($1:38)&gt;COUNT(Dong2),"",IF(OFFSET(TH!K$1,SMALL(Dong2,ROWS($1:38)),)="1121",OFFSET(TH!J$1,SMALL(Dong2,ROWS($1:38)),),OFFSET(TH!K$1,SMALL(Dong2,ROWS($1:38)),)))</f>
        <v>635</v>
      </c>
      <c r="G49" s="220">
        <f ca="1">IF(ROWS($1:38)&gt;COUNT(Dong2),"",IF(OFFSET(TH!J$1,SMALL(Dong2,ROWS($1:38)),)="1121",OFFSET(TH!I$1,SMALL(Dong2,ROWS($1:38)),),0))</f>
        <v>0</v>
      </c>
      <c r="H49" s="220">
        <f ca="1">IF(ROWS($1:38)&gt;COUNT(Dong2),"",IF(OFFSET(TH!K$1,SMALL(Dong2,ROWS($1:38)),)="1121",OFFSET(TH!I$1,SMALL(Dong2,ROWS($1:38)),),0))</f>
        <v>25788519</v>
      </c>
      <c r="I49" s="221">
        <f t="shared" ca="1" si="1"/>
        <v>449495148</v>
      </c>
      <c r="J49" s="221"/>
    </row>
    <row r="50" spans="1:10" s="206" customFormat="1" ht="18" customHeight="1">
      <c r="A50" s="219">
        <f ca="1">IF(ROWS($1:39)&gt;COUNT(Dong2),"",OFFSET(TH!C$1,SMALL(Dong2,ROWS($1:39)),))</f>
        <v>41993</v>
      </c>
      <c r="B50" s="219" t="str">
        <f ca="1">IF(ROWS($1:39)&gt;COUNT(Dong2),"",OFFSET(TH!D$1,SMALL(Dong2,ROWS($1:39)),))</f>
        <v>C04</v>
      </c>
      <c r="C50" s="219">
        <f ca="1">IF(ROWS($1:39)&gt;COUNT(Dong2),"",OFFSET(TH!E$1,SMALL(Dong2,ROWS($1:39)),))</f>
        <v>41993</v>
      </c>
      <c r="D50" s="247" t="str">
        <f ca="1">IF(ROWS($1:39)&gt;COUNT(Dong2),"",OFFSET(TH!F$1,SMALL(Dong2,ROWS($1:39)),))</f>
        <v>Nộp tiền mặt vào tài khoản ngân hàng</v>
      </c>
      <c r="E50" s="247">
        <f ca="1">IF(ROWS($1:39)&gt;COUNT(Dong2),"",OFFSET(TH!G$1,SMALL(Dong2,ROWS($1:39)),))</f>
        <v>0</v>
      </c>
      <c r="F50" s="219" t="str">
        <f ca="1">IF(ROWS($1:39)&gt;COUNT(Dong2),"",IF(OFFSET(TH!K$1,SMALL(Dong2,ROWS($1:39)),)="1121",OFFSET(TH!J$1,SMALL(Dong2,ROWS($1:39)),),OFFSET(TH!K$1,SMALL(Dong2,ROWS($1:39)),)))</f>
        <v>1111</v>
      </c>
      <c r="G50" s="220">
        <f ca="1">IF(ROWS($1:39)&gt;COUNT(Dong2),"",IF(OFFSET(TH!J$1,SMALL(Dong2,ROWS($1:39)),)="1121",OFFSET(TH!I$1,SMALL(Dong2,ROWS($1:39)),),0))</f>
        <v>51000000</v>
      </c>
      <c r="H50" s="220">
        <f ca="1">IF(ROWS($1:39)&gt;COUNT(Dong2),"",IF(OFFSET(TH!K$1,SMALL(Dong2,ROWS($1:39)),)="1121",OFFSET(TH!I$1,SMALL(Dong2,ROWS($1:39)),),0))</f>
        <v>0</v>
      </c>
      <c r="I50" s="221">
        <f t="shared" ca="1" si="1"/>
        <v>500495148</v>
      </c>
      <c r="J50" s="221"/>
    </row>
    <row r="51" spans="1:10" s="206" customFormat="1" ht="18" customHeight="1">
      <c r="A51" s="219">
        <f ca="1">IF(ROWS($1:40)&gt;COUNT(Dong2),"",OFFSET(TH!C$1,SMALL(Dong2,ROWS($1:40)),))</f>
        <v>41996</v>
      </c>
      <c r="B51" s="219" t="str">
        <f ca="1">IF(ROWS($1:40)&gt;COUNT(Dong2),"",OFFSET(TH!D$1,SMALL(Dong2,ROWS($1:40)),))</f>
        <v>GBN</v>
      </c>
      <c r="C51" s="219">
        <f ca="1">IF(ROWS($1:40)&gt;COUNT(Dong2),"",OFFSET(TH!E$1,SMALL(Dong2,ROWS($1:40)),))</f>
        <v>41996</v>
      </c>
      <c r="D51" s="247" t="str">
        <f ca="1">IF(ROWS($1:40)&gt;COUNT(Dong2),"",OFFSET(TH!F$1,SMALL(Dong2,ROWS($1:40)),))</f>
        <v>Phí duy trì DV SMS - 0903921945</v>
      </c>
      <c r="E51" s="247">
        <f ca="1">IF(ROWS($1:40)&gt;COUNT(Dong2),"",OFFSET(TH!G$1,SMALL(Dong2,ROWS($1:40)),))</f>
        <v>0</v>
      </c>
      <c r="F51" s="219" t="str">
        <f ca="1">IF(ROWS($1:40)&gt;COUNT(Dong2),"",IF(OFFSET(TH!K$1,SMALL(Dong2,ROWS($1:40)),)="1121",OFFSET(TH!J$1,SMALL(Dong2,ROWS($1:40)),),OFFSET(TH!K$1,SMALL(Dong2,ROWS($1:40)),)))</f>
        <v>642</v>
      </c>
      <c r="G51" s="220">
        <f ca="1">IF(ROWS($1:40)&gt;COUNT(Dong2),"",IF(OFFSET(TH!J$1,SMALL(Dong2,ROWS($1:40)),)="1121",OFFSET(TH!I$1,SMALL(Dong2,ROWS($1:40)),),0))</f>
        <v>0</v>
      </c>
      <c r="H51" s="220">
        <f ca="1">IF(ROWS($1:40)&gt;COUNT(Dong2),"",IF(OFFSET(TH!K$1,SMALL(Dong2,ROWS($1:40)),)="1121",OFFSET(TH!I$1,SMALL(Dong2,ROWS($1:40)),),0))</f>
        <v>50000</v>
      </c>
      <c r="I51" s="221">
        <f t="shared" ca="1" si="1"/>
        <v>500445148</v>
      </c>
      <c r="J51" s="221"/>
    </row>
    <row r="52" spans="1:10" s="206" customFormat="1" ht="18" customHeight="1">
      <c r="A52" s="219">
        <f ca="1">IF(ROWS($1:41)&gt;COUNT(Dong2),"",OFFSET(TH!C$1,SMALL(Dong2,ROWS($1:41)),))</f>
        <v>41996</v>
      </c>
      <c r="B52" s="219" t="str">
        <f ca="1">IF(ROWS($1:41)&gt;COUNT(Dong2),"",OFFSET(TH!D$1,SMALL(Dong2,ROWS($1:41)),))</f>
        <v>GBN</v>
      </c>
      <c r="C52" s="219">
        <f ca="1">IF(ROWS($1:41)&gt;COUNT(Dong2),"",OFFSET(TH!E$1,SMALL(Dong2,ROWS($1:41)),))</f>
        <v>41996</v>
      </c>
      <c r="D52" s="247" t="str">
        <f ca="1">IF(ROWS($1:41)&gt;COUNT(Dong2),"",OFFSET(TH!F$1,SMALL(Dong2,ROWS($1:41)),))</f>
        <v>VAT Phí duy trì DV SMS</v>
      </c>
      <c r="E52" s="247">
        <f ca="1">IF(ROWS($1:41)&gt;COUNT(Dong2),"",OFFSET(TH!G$1,SMALL(Dong2,ROWS($1:41)),))</f>
        <v>0</v>
      </c>
      <c r="F52" s="219" t="str">
        <f ca="1">IF(ROWS($1:41)&gt;COUNT(Dong2),"",IF(OFFSET(TH!K$1,SMALL(Dong2,ROWS($1:41)),)="1121",OFFSET(TH!J$1,SMALL(Dong2,ROWS($1:41)),),OFFSET(TH!K$1,SMALL(Dong2,ROWS($1:41)),)))</f>
        <v>1331</v>
      </c>
      <c r="G52" s="220">
        <f ca="1">IF(ROWS($1:41)&gt;COUNT(Dong2),"",IF(OFFSET(TH!J$1,SMALL(Dong2,ROWS($1:41)),)="1121",OFFSET(TH!I$1,SMALL(Dong2,ROWS($1:41)),),0))</f>
        <v>0</v>
      </c>
      <c r="H52" s="220">
        <f ca="1">IF(ROWS($1:41)&gt;COUNT(Dong2),"",IF(OFFSET(TH!K$1,SMALL(Dong2,ROWS($1:41)),)="1121",OFFSET(TH!I$1,SMALL(Dong2,ROWS($1:41)),),0))</f>
        <v>5000</v>
      </c>
      <c r="I52" s="221">
        <f t="shared" ca="1" si="1"/>
        <v>500440148</v>
      </c>
      <c r="J52" s="221"/>
    </row>
    <row r="53" spans="1:10" s="206" customFormat="1" ht="18" customHeight="1">
      <c r="A53" s="219">
        <f ca="1">IF(ROWS($1:42)&gt;COUNT(Dong2),"",OFFSET(TH!C$1,SMALL(Dong2,ROWS($1:42)),))</f>
        <v>41996</v>
      </c>
      <c r="B53" s="219" t="str">
        <f ca="1">IF(ROWS($1:42)&gt;COUNT(Dong2),"",OFFSET(TH!D$1,SMALL(Dong2,ROWS($1:42)),))</f>
        <v>GBN</v>
      </c>
      <c r="C53" s="219">
        <f ca="1">IF(ROWS($1:42)&gt;COUNT(Dong2),"",OFFSET(TH!E$1,SMALL(Dong2,ROWS($1:42)),))</f>
        <v>41996</v>
      </c>
      <c r="D53" s="247" t="str">
        <f ca="1">IF(ROWS($1:42)&gt;COUNT(Dong2),"",OFFSET(TH!F$1,SMALL(Dong2,ROWS($1:42)),))</f>
        <v>Phí duy trì DV SMS - 0913906967</v>
      </c>
      <c r="E53" s="247">
        <f ca="1">IF(ROWS($1:42)&gt;COUNT(Dong2),"",OFFSET(TH!G$1,SMALL(Dong2,ROWS($1:42)),))</f>
        <v>0</v>
      </c>
      <c r="F53" s="219" t="str">
        <f ca="1">IF(ROWS($1:42)&gt;COUNT(Dong2),"",IF(OFFSET(TH!K$1,SMALL(Dong2,ROWS($1:42)),)="1121",OFFSET(TH!J$1,SMALL(Dong2,ROWS($1:42)),),OFFSET(TH!K$1,SMALL(Dong2,ROWS($1:42)),)))</f>
        <v>642</v>
      </c>
      <c r="G53" s="220">
        <f ca="1">IF(ROWS($1:42)&gt;COUNT(Dong2),"",IF(OFFSET(TH!J$1,SMALL(Dong2,ROWS($1:42)),)="1121",OFFSET(TH!I$1,SMALL(Dong2,ROWS($1:42)),),0))</f>
        <v>0</v>
      </c>
      <c r="H53" s="220">
        <f ca="1">IF(ROWS($1:42)&gt;COUNT(Dong2),"",IF(OFFSET(TH!K$1,SMALL(Dong2,ROWS($1:42)),)="1121",OFFSET(TH!I$1,SMALL(Dong2,ROWS($1:42)),),0))</f>
        <v>50000</v>
      </c>
      <c r="I53" s="221">
        <f t="shared" ref="I53:I65" ca="1" si="2">IF(A53&lt;&gt;"",I52+G53-H53,0)</f>
        <v>500390148</v>
      </c>
      <c r="J53" s="221"/>
    </row>
    <row r="54" spans="1:10" s="206" customFormat="1" ht="18" customHeight="1">
      <c r="A54" s="219">
        <f ca="1">IF(ROWS($1:43)&gt;COUNT(Dong2),"",OFFSET(TH!C$1,SMALL(Dong2,ROWS($1:43)),))</f>
        <v>41996</v>
      </c>
      <c r="B54" s="219" t="str">
        <f ca="1">IF(ROWS($1:43)&gt;COUNT(Dong2),"",OFFSET(TH!D$1,SMALL(Dong2,ROWS($1:43)),))</f>
        <v>GBN</v>
      </c>
      <c r="C54" s="219">
        <f ca="1">IF(ROWS($1:43)&gt;COUNT(Dong2),"",OFFSET(TH!E$1,SMALL(Dong2,ROWS($1:43)),))</f>
        <v>41996</v>
      </c>
      <c r="D54" s="247" t="str">
        <f ca="1">IF(ROWS($1:43)&gt;COUNT(Dong2),"",OFFSET(TH!F$1,SMALL(Dong2,ROWS($1:43)),))</f>
        <v>VAT Phí duy trì DV SMS</v>
      </c>
      <c r="E54" s="247">
        <f ca="1">IF(ROWS($1:43)&gt;COUNT(Dong2),"",OFFSET(TH!G$1,SMALL(Dong2,ROWS($1:43)),))</f>
        <v>0</v>
      </c>
      <c r="F54" s="219" t="str">
        <f ca="1">IF(ROWS($1:43)&gt;COUNT(Dong2),"",IF(OFFSET(TH!K$1,SMALL(Dong2,ROWS($1:43)),)="1121",OFFSET(TH!J$1,SMALL(Dong2,ROWS($1:43)),),OFFSET(TH!K$1,SMALL(Dong2,ROWS($1:43)),)))</f>
        <v>1331</v>
      </c>
      <c r="G54" s="220">
        <f ca="1">IF(ROWS($1:43)&gt;COUNT(Dong2),"",IF(OFFSET(TH!J$1,SMALL(Dong2,ROWS($1:43)),)="1121",OFFSET(TH!I$1,SMALL(Dong2,ROWS($1:43)),),0))</f>
        <v>0</v>
      </c>
      <c r="H54" s="220">
        <f ca="1">IF(ROWS($1:43)&gt;COUNT(Dong2),"",IF(OFFSET(TH!K$1,SMALL(Dong2,ROWS($1:43)),)="1121",OFFSET(TH!I$1,SMALL(Dong2,ROWS($1:43)),),0))</f>
        <v>5000</v>
      </c>
      <c r="I54" s="221">
        <f t="shared" ca="1" si="2"/>
        <v>500385148</v>
      </c>
      <c r="J54" s="221"/>
    </row>
    <row r="55" spans="1:10" s="206" customFormat="1" ht="18" customHeight="1">
      <c r="A55" s="219">
        <f ca="1">IF(ROWS($1:44)&gt;COUNT(Dong2),"",OFFSET(TH!C$1,SMALL(Dong2,ROWS($1:44)),))</f>
        <v>41996</v>
      </c>
      <c r="B55" s="219" t="str">
        <f ca="1">IF(ROWS($1:44)&gt;COUNT(Dong2),"",OFFSET(TH!D$1,SMALL(Dong2,ROWS($1:44)),))</f>
        <v>GBN</v>
      </c>
      <c r="C55" s="219">
        <f ca="1">IF(ROWS($1:44)&gt;COUNT(Dong2),"",OFFSET(TH!E$1,SMALL(Dong2,ROWS($1:44)),))</f>
        <v>41996</v>
      </c>
      <c r="D55" s="247" t="str">
        <f ca="1">IF(ROWS($1:44)&gt;COUNT(Dong2),"",OFFSET(TH!F$1,SMALL(Dong2,ROWS($1:44)),))</f>
        <v>Phí duy trì DV SMS - 0982911262</v>
      </c>
      <c r="E55" s="247">
        <f ca="1">IF(ROWS($1:44)&gt;COUNT(Dong2),"",OFFSET(TH!G$1,SMALL(Dong2,ROWS($1:44)),))</f>
        <v>0</v>
      </c>
      <c r="F55" s="219" t="str">
        <f ca="1">IF(ROWS($1:44)&gt;COUNT(Dong2),"",IF(OFFSET(TH!K$1,SMALL(Dong2,ROWS($1:44)),)="1121",OFFSET(TH!J$1,SMALL(Dong2,ROWS($1:44)),),OFFSET(TH!K$1,SMALL(Dong2,ROWS($1:44)),)))</f>
        <v>642</v>
      </c>
      <c r="G55" s="220">
        <f ca="1">IF(ROWS($1:44)&gt;COUNT(Dong2),"",IF(OFFSET(TH!J$1,SMALL(Dong2,ROWS($1:44)),)="1121",OFFSET(TH!I$1,SMALL(Dong2,ROWS($1:44)),),0))</f>
        <v>0</v>
      </c>
      <c r="H55" s="220">
        <f ca="1">IF(ROWS($1:44)&gt;COUNT(Dong2),"",IF(OFFSET(TH!K$1,SMALL(Dong2,ROWS($1:44)),)="1121",OFFSET(TH!I$1,SMALL(Dong2,ROWS($1:44)),),0))</f>
        <v>50000</v>
      </c>
      <c r="I55" s="221">
        <f t="shared" ca="1" si="2"/>
        <v>500335148</v>
      </c>
      <c r="J55" s="221"/>
    </row>
    <row r="56" spans="1:10" s="206" customFormat="1" ht="18" customHeight="1">
      <c r="A56" s="219">
        <f ca="1">IF(ROWS($1:45)&gt;COUNT(Dong2),"",OFFSET(TH!C$1,SMALL(Dong2,ROWS($1:45)),))</f>
        <v>41996</v>
      </c>
      <c r="B56" s="219" t="str">
        <f ca="1">IF(ROWS($1:45)&gt;COUNT(Dong2),"",OFFSET(TH!D$1,SMALL(Dong2,ROWS($1:45)),))</f>
        <v>GBN</v>
      </c>
      <c r="C56" s="219">
        <f ca="1">IF(ROWS($1:45)&gt;COUNT(Dong2),"",OFFSET(TH!E$1,SMALL(Dong2,ROWS($1:45)),))</f>
        <v>41996</v>
      </c>
      <c r="D56" s="247" t="str">
        <f ca="1">IF(ROWS($1:45)&gt;COUNT(Dong2),"",OFFSET(TH!F$1,SMALL(Dong2,ROWS($1:45)),))</f>
        <v>VAT Phí duy trì DV SMS</v>
      </c>
      <c r="E56" s="247">
        <f ca="1">IF(ROWS($1:45)&gt;COUNT(Dong2),"",OFFSET(TH!G$1,SMALL(Dong2,ROWS($1:45)),))</f>
        <v>0</v>
      </c>
      <c r="F56" s="219" t="str">
        <f ca="1">IF(ROWS($1:45)&gt;COUNT(Dong2),"",IF(OFFSET(TH!K$1,SMALL(Dong2,ROWS($1:45)),)="1121",OFFSET(TH!J$1,SMALL(Dong2,ROWS($1:45)),),OFFSET(TH!K$1,SMALL(Dong2,ROWS($1:45)),)))</f>
        <v>1331</v>
      </c>
      <c r="G56" s="220">
        <f ca="1">IF(ROWS($1:45)&gt;COUNT(Dong2),"",IF(OFFSET(TH!J$1,SMALL(Dong2,ROWS($1:45)),)="1121",OFFSET(TH!I$1,SMALL(Dong2,ROWS($1:45)),),0))</f>
        <v>0</v>
      </c>
      <c r="H56" s="220">
        <f ca="1">IF(ROWS($1:45)&gt;COUNT(Dong2),"",IF(OFFSET(TH!K$1,SMALL(Dong2,ROWS($1:45)),)="1121",OFFSET(TH!I$1,SMALL(Dong2,ROWS($1:45)),),0))</f>
        <v>5000</v>
      </c>
      <c r="I56" s="221">
        <f t="shared" ca="1" si="2"/>
        <v>500330148</v>
      </c>
      <c r="J56" s="221"/>
    </row>
    <row r="57" spans="1:10" s="206" customFormat="1" ht="18" customHeight="1">
      <c r="A57" s="219">
        <f ca="1">IF(ROWS($1:46)&gt;COUNT(Dong2),"",OFFSET(TH!C$1,SMALL(Dong2,ROWS($1:46)),))</f>
        <v>41998</v>
      </c>
      <c r="B57" s="219" t="str">
        <f ca="1">IF(ROWS($1:46)&gt;COUNT(Dong2),"",OFFSET(TH!D$1,SMALL(Dong2,ROWS($1:46)),))</f>
        <v>GBC</v>
      </c>
      <c r="C57" s="219">
        <f ca="1">IF(ROWS($1:46)&gt;COUNT(Dong2),"",OFFSET(TH!E$1,SMALL(Dong2,ROWS($1:46)),))</f>
        <v>41998</v>
      </c>
      <c r="D57" s="247" t="str">
        <f ca="1">IF(ROWS($1:46)&gt;COUNT(Dong2),"",OFFSET(TH!F$1,SMALL(Dong2,ROWS($1:46)),))</f>
        <v>Lãi tiền gửi</v>
      </c>
      <c r="E57" s="247">
        <f ca="1">IF(ROWS($1:46)&gt;COUNT(Dong2),"",OFFSET(TH!G$1,SMALL(Dong2,ROWS($1:46)),))</f>
        <v>0</v>
      </c>
      <c r="F57" s="219" t="str">
        <f ca="1">IF(ROWS($1:46)&gt;COUNT(Dong2),"",IF(OFFSET(TH!K$1,SMALL(Dong2,ROWS($1:46)),)="1121",OFFSET(TH!J$1,SMALL(Dong2,ROWS($1:46)),),OFFSET(TH!K$1,SMALL(Dong2,ROWS($1:46)),)))</f>
        <v>515</v>
      </c>
      <c r="G57" s="220">
        <f ca="1">IF(ROWS($1:46)&gt;COUNT(Dong2),"",IF(OFFSET(TH!J$1,SMALL(Dong2,ROWS($1:46)),)="1121",OFFSET(TH!I$1,SMALL(Dong2,ROWS($1:46)),),0))</f>
        <v>125079</v>
      </c>
      <c r="H57" s="220">
        <f ca="1">IF(ROWS($1:46)&gt;COUNT(Dong2),"",IF(OFFSET(TH!K$1,SMALL(Dong2,ROWS($1:46)),)="1121",OFFSET(TH!I$1,SMALL(Dong2,ROWS($1:46)),),0))</f>
        <v>0</v>
      </c>
      <c r="I57" s="221">
        <f t="shared" ca="1" si="2"/>
        <v>500455227</v>
      </c>
      <c r="J57" s="221"/>
    </row>
    <row r="58" spans="1:10" s="206" customFormat="1" ht="18" customHeight="1">
      <c r="A58" s="219">
        <f ca="1">IF(ROWS($1:47)&gt;COUNT(Dong2),"",OFFSET(TH!C$1,SMALL(Dong2,ROWS($1:47)),))</f>
        <v>42003</v>
      </c>
      <c r="B58" s="219" t="str">
        <f ca="1">IF(ROWS($1:47)&gt;COUNT(Dong2),"",OFFSET(TH!D$1,SMALL(Dong2,ROWS($1:47)),))</f>
        <v>C05</v>
      </c>
      <c r="C58" s="219">
        <f ca="1">IF(ROWS($1:47)&gt;COUNT(Dong2),"",OFFSET(TH!E$1,SMALL(Dong2,ROWS($1:47)),))</f>
        <v>42003</v>
      </c>
      <c r="D58" s="247" t="str">
        <f ca="1">IF(ROWS($1:47)&gt;COUNT(Dong2),"",OFFSET(TH!F$1,SMALL(Dong2,ROWS($1:47)),))</f>
        <v>Nộp tiền mặt vào tài khoản ngân hàng</v>
      </c>
      <c r="E58" s="247">
        <f ca="1">IF(ROWS($1:47)&gt;COUNT(Dong2),"",OFFSET(TH!G$1,SMALL(Dong2,ROWS($1:47)),))</f>
        <v>0</v>
      </c>
      <c r="F58" s="219" t="str">
        <f ca="1">IF(ROWS($1:47)&gt;COUNT(Dong2),"",IF(OFFSET(TH!K$1,SMALL(Dong2,ROWS($1:47)),)="1121",OFFSET(TH!J$1,SMALL(Dong2,ROWS($1:47)),),OFFSET(TH!K$1,SMALL(Dong2,ROWS($1:47)),)))</f>
        <v>1111</v>
      </c>
      <c r="G58" s="220">
        <f ca="1">IF(ROWS($1:47)&gt;COUNT(Dong2),"",IF(OFFSET(TH!J$1,SMALL(Dong2,ROWS($1:47)),)="1121",OFFSET(TH!I$1,SMALL(Dong2,ROWS($1:47)),),0))</f>
        <v>1000000</v>
      </c>
      <c r="H58" s="220">
        <f ca="1">IF(ROWS($1:47)&gt;COUNT(Dong2),"",IF(OFFSET(TH!K$1,SMALL(Dong2,ROWS($1:47)),)="1121",OFFSET(TH!I$1,SMALL(Dong2,ROWS($1:47)),),0))</f>
        <v>0</v>
      </c>
      <c r="I58" s="221">
        <f t="shared" ca="1" si="2"/>
        <v>501455227</v>
      </c>
      <c r="J58" s="221"/>
    </row>
    <row r="59" spans="1:10" s="206" customFormat="1" ht="18" customHeight="1">
      <c r="A59" s="219">
        <f ca="1">IF(ROWS($1:48)&gt;COUNT(Dong2),"",OFFSET(TH!C$1,SMALL(Dong2,ROWS($1:48)),))</f>
        <v>42004</v>
      </c>
      <c r="B59" s="219" t="str">
        <f ca="1">IF(ROWS($1:48)&gt;COUNT(Dong2),"",OFFSET(TH!D$1,SMALL(Dong2,ROWS($1:48)),))</f>
        <v>GBN</v>
      </c>
      <c r="C59" s="219">
        <f ca="1">IF(ROWS($1:48)&gt;COUNT(Dong2),"",OFFSET(TH!E$1,SMALL(Dong2,ROWS($1:48)),))</f>
        <v>42004</v>
      </c>
      <c r="D59" s="247" t="str">
        <f ca="1">IF(ROWS($1:48)&gt;COUNT(Dong2),"",OFFSET(TH!F$1,SMALL(Dong2,ROWS($1:48)),))</f>
        <v xml:space="preserve">Phí chuyển tiền </v>
      </c>
      <c r="E59" s="247">
        <f ca="1">IF(ROWS($1:48)&gt;COUNT(Dong2),"",OFFSET(TH!G$1,SMALL(Dong2,ROWS($1:48)),))</f>
        <v>0</v>
      </c>
      <c r="F59" s="219" t="str">
        <f ca="1">IF(ROWS($1:48)&gt;COUNT(Dong2),"",IF(OFFSET(TH!K$1,SMALL(Dong2,ROWS($1:48)),)="1121",OFFSET(TH!J$1,SMALL(Dong2,ROWS($1:48)),),OFFSET(TH!K$1,SMALL(Dong2,ROWS($1:48)),)))</f>
        <v>642</v>
      </c>
      <c r="G59" s="220">
        <f ca="1">IF(ROWS($1:48)&gt;COUNT(Dong2),"",IF(OFFSET(TH!J$1,SMALL(Dong2,ROWS($1:48)),)="1121",OFFSET(TH!I$1,SMALL(Dong2,ROWS($1:48)),),0))</f>
        <v>0</v>
      </c>
      <c r="H59" s="220">
        <f ca="1">IF(ROWS($1:48)&gt;COUNT(Dong2),"",IF(OFFSET(TH!K$1,SMALL(Dong2,ROWS($1:48)),)="1121",OFFSET(TH!I$1,SMALL(Dong2,ROWS($1:48)),),0))</f>
        <v>500000</v>
      </c>
      <c r="I59" s="221">
        <f t="shared" ca="1" si="2"/>
        <v>500955227</v>
      </c>
      <c r="J59" s="221"/>
    </row>
    <row r="60" spans="1:10" s="206" customFormat="1" ht="18" customHeight="1">
      <c r="A60" s="219">
        <f ca="1">IF(ROWS($1:49)&gt;COUNT(Dong2),"",OFFSET(TH!C$1,SMALL(Dong2,ROWS($1:49)),))</f>
        <v>42004</v>
      </c>
      <c r="B60" s="219" t="str">
        <f ca="1">IF(ROWS($1:49)&gt;COUNT(Dong2),"",OFFSET(TH!D$1,SMALL(Dong2,ROWS($1:49)),))</f>
        <v>GBN</v>
      </c>
      <c r="C60" s="219">
        <f ca="1">IF(ROWS($1:49)&gt;COUNT(Dong2),"",OFFSET(TH!E$1,SMALL(Dong2,ROWS($1:49)),))</f>
        <v>42004</v>
      </c>
      <c r="D60" s="247" t="str">
        <f ca="1">IF(ROWS($1:49)&gt;COUNT(Dong2),"",OFFSET(TH!F$1,SMALL(Dong2,ROWS($1:49)),))</f>
        <v xml:space="preserve">VAT Phí chuyển tiền </v>
      </c>
      <c r="E60" s="247">
        <f ca="1">IF(ROWS($1:49)&gt;COUNT(Dong2),"",OFFSET(TH!G$1,SMALL(Dong2,ROWS($1:49)),))</f>
        <v>0</v>
      </c>
      <c r="F60" s="219" t="str">
        <f ca="1">IF(ROWS($1:49)&gt;COUNT(Dong2),"",IF(OFFSET(TH!K$1,SMALL(Dong2,ROWS($1:49)),)="1121",OFFSET(TH!J$1,SMALL(Dong2,ROWS($1:49)),),OFFSET(TH!K$1,SMALL(Dong2,ROWS($1:49)),)))</f>
        <v>1331</v>
      </c>
      <c r="G60" s="220">
        <f ca="1">IF(ROWS($1:49)&gt;COUNT(Dong2),"",IF(OFFSET(TH!J$1,SMALL(Dong2,ROWS($1:49)),)="1121",OFFSET(TH!I$1,SMALL(Dong2,ROWS($1:49)),),0))</f>
        <v>0</v>
      </c>
      <c r="H60" s="220">
        <f ca="1">IF(ROWS($1:49)&gt;COUNT(Dong2),"",IF(OFFSET(TH!K$1,SMALL(Dong2,ROWS($1:49)),)="1121",OFFSET(TH!I$1,SMALL(Dong2,ROWS($1:49)),),0))</f>
        <v>50000</v>
      </c>
      <c r="I60" s="221">
        <f t="shared" ca="1" si="2"/>
        <v>500905227</v>
      </c>
      <c r="J60" s="221"/>
    </row>
    <row r="61" spans="1:10" s="206" customFormat="1" ht="18" customHeight="1">
      <c r="A61" s="219" t="str">
        <f ca="1">IF(ROWS($1:50)&gt;COUNT(Dong2),"",OFFSET(TH!C$1,SMALL(Dong2,ROWS($1:50)),))</f>
        <v/>
      </c>
      <c r="B61" s="219" t="str">
        <f ca="1">IF(ROWS($1:50)&gt;COUNT(Dong2),"",OFFSET(TH!D$1,SMALL(Dong2,ROWS($1:50)),))</f>
        <v/>
      </c>
      <c r="C61" s="219" t="str">
        <f ca="1">IF(ROWS($1:50)&gt;COUNT(Dong2),"",OFFSET(TH!E$1,SMALL(Dong2,ROWS($1:50)),))</f>
        <v/>
      </c>
      <c r="D61" s="247" t="str">
        <f ca="1">IF(ROWS($1:50)&gt;COUNT(Dong2),"",OFFSET(TH!F$1,SMALL(Dong2,ROWS($1:50)),))</f>
        <v/>
      </c>
      <c r="E61" s="247" t="str">
        <f ca="1">IF(ROWS($1:50)&gt;COUNT(Dong2),"",OFFSET(TH!G$1,SMALL(Dong2,ROWS($1:50)),))</f>
        <v/>
      </c>
      <c r="F61" s="219" t="str">
        <f ca="1">IF(ROWS($1:50)&gt;COUNT(Dong2),"",IF(OFFSET(TH!K$1,SMALL(Dong2,ROWS($1:50)),)="1121",OFFSET(TH!J$1,SMALL(Dong2,ROWS($1:50)),),OFFSET(TH!K$1,SMALL(Dong2,ROWS($1:50)),)))</f>
        <v/>
      </c>
      <c r="G61" s="220" t="str">
        <f ca="1">IF(ROWS($1:50)&gt;COUNT(Dong2),"",IF(OFFSET(TH!J$1,SMALL(Dong2,ROWS($1:50)),)="1121",OFFSET(TH!I$1,SMALL(Dong2,ROWS($1:50)),),0))</f>
        <v/>
      </c>
      <c r="H61" s="220" t="str">
        <f ca="1">IF(ROWS($1:50)&gt;COUNT(Dong2),"",IF(OFFSET(TH!K$1,SMALL(Dong2,ROWS($1:50)),)="1121",OFFSET(TH!I$1,SMALL(Dong2,ROWS($1:50)),),0))</f>
        <v/>
      </c>
      <c r="I61" s="221">
        <f t="shared" ca="1" si="2"/>
        <v>0</v>
      </c>
      <c r="J61" s="221"/>
    </row>
    <row r="62" spans="1:10" s="206" customFormat="1" ht="18" customHeight="1">
      <c r="A62" s="219" t="str">
        <f ca="1">IF(ROWS($1:51)&gt;COUNT(Dong2),"",OFFSET(TH!C$1,SMALL(Dong2,ROWS($1:51)),))</f>
        <v/>
      </c>
      <c r="B62" s="219" t="str">
        <f ca="1">IF(ROWS($1:51)&gt;COUNT(Dong2),"",OFFSET(TH!D$1,SMALL(Dong2,ROWS($1:51)),))</f>
        <v/>
      </c>
      <c r="C62" s="219" t="str">
        <f ca="1">IF(ROWS($1:51)&gt;COUNT(Dong2),"",OFFSET(TH!E$1,SMALL(Dong2,ROWS($1:51)),))</f>
        <v/>
      </c>
      <c r="D62" s="247" t="str">
        <f ca="1">IF(ROWS($1:51)&gt;COUNT(Dong2),"",OFFSET(TH!F$1,SMALL(Dong2,ROWS($1:51)),))</f>
        <v/>
      </c>
      <c r="E62" s="247" t="str">
        <f ca="1">IF(ROWS($1:51)&gt;COUNT(Dong2),"",OFFSET(TH!G$1,SMALL(Dong2,ROWS($1:51)),))</f>
        <v/>
      </c>
      <c r="F62" s="219" t="str">
        <f ca="1">IF(ROWS($1:51)&gt;COUNT(Dong2),"",IF(OFFSET(TH!K$1,SMALL(Dong2,ROWS($1:51)),)="1121",OFFSET(TH!J$1,SMALL(Dong2,ROWS($1:51)),),OFFSET(TH!K$1,SMALL(Dong2,ROWS($1:51)),)))</f>
        <v/>
      </c>
      <c r="G62" s="220" t="str">
        <f ca="1">IF(ROWS($1:51)&gt;COUNT(Dong2),"",IF(OFFSET(TH!J$1,SMALL(Dong2,ROWS($1:51)),)="1121",OFFSET(TH!I$1,SMALL(Dong2,ROWS($1:51)),),0))</f>
        <v/>
      </c>
      <c r="H62" s="220" t="str">
        <f ca="1">IF(ROWS($1:51)&gt;COUNT(Dong2),"",IF(OFFSET(TH!K$1,SMALL(Dong2,ROWS($1:51)),)="1121",OFFSET(TH!I$1,SMALL(Dong2,ROWS($1:51)),),0))</f>
        <v/>
      </c>
      <c r="I62" s="221">
        <f t="shared" ca="1" si="2"/>
        <v>0</v>
      </c>
      <c r="J62" s="221"/>
    </row>
    <row r="63" spans="1:10" s="206" customFormat="1" ht="18" customHeight="1">
      <c r="A63" s="219" t="str">
        <f ca="1">IF(ROWS($1:52)&gt;COUNT(Dong2),"",OFFSET(TH!C$1,SMALL(Dong2,ROWS($1:52)),))</f>
        <v/>
      </c>
      <c r="B63" s="219" t="str">
        <f ca="1">IF(ROWS($1:52)&gt;COUNT(Dong2),"",OFFSET(TH!D$1,SMALL(Dong2,ROWS($1:52)),))</f>
        <v/>
      </c>
      <c r="C63" s="219" t="str">
        <f ca="1">IF(ROWS($1:52)&gt;COUNT(Dong2),"",OFFSET(TH!E$1,SMALL(Dong2,ROWS($1:52)),))</f>
        <v/>
      </c>
      <c r="D63" s="247" t="str">
        <f ca="1">IF(ROWS($1:52)&gt;COUNT(Dong2),"",OFFSET(TH!F$1,SMALL(Dong2,ROWS($1:52)),))</f>
        <v/>
      </c>
      <c r="E63" s="247" t="str">
        <f ca="1">IF(ROWS($1:52)&gt;COUNT(Dong2),"",OFFSET(TH!G$1,SMALL(Dong2,ROWS($1:52)),))</f>
        <v/>
      </c>
      <c r="F63" s="219" t="str">
        <f ca="1">IF(ROWS($1:52)&gt;COUNT(Dong2),"",IF(OFFSET(TH!K$1,SMALL(Dong2,ROWS($1:52)),)="1121",OFFSET(TH!J$1,SMALL(Dong2,ROWS($1:52)),),OFFSET(TH!K$1,SMALL(Dong2,ROWS($1:52)),)))</f>
        <v/>
      </c>
      <c r="G63" s="220" t="str">
        <f ca="1">IF(ROWS($1:52)&gt;COUNT(Dong2),"",IF(OFFSET(TH!J$1,SMALL(Dong2,ROWS($1:52)),)="1121",OFFSET(TH!I$1,SMALL(Dong2,ROWS($1:52)),),0))</f>
        <v/>
      </c>
      <c r="H63" s="220" t="str">
        <f ca="1">IF(ROWS($1:52)&gt;COUNT(Dong2),"",IF(OFFSET(TH!K$1,SMALL(Dong2,ROWS($1:52)),)="1121",OFFSET(TH!I$1,SMALL(Dong2,ROWS($1:52)),),0))</f>
        <v/>
      </c>
      <c r="I63" s="221">
        <f t="shared" ca="1" si="2"/>
        <v>0</v>
      </c>
      <c r="J63" s="221"/>
    </row>
    <row r="64" spans="1:10" s="206" customFormat="1" ht="18" customHeight="1">
      <c r="A64" s="219" t="str">
        <f ca="1">IF(ROWS($1:53)&gt;COUNT(Dong2),"",OFFSET(TH!C$1,SMALL(Dong2,ROWS($1:53)),))</f>
        <v/>
      </c>
      <c r="B64" s="219" t="str">
        <f ca="1">IF(ROWS($1:53)&gt;COUNT(Dong2),"",OFFSET(TH!D$1,SMALL(Dong2,ROWS($1:53)),))</f>
        <v/>
      </c>
      <c r="C64" s="219" t="str">
        <f ca="1">IF(ROWS($1:53)&gt;COUNT(Dong2),"",OFFSET(TH!E$1,SMALL(Dong2,ROWS($1:53)),))</f>
        <v/>
      </c>
      <c r="D64" s="247" t="str">
        <f ca="1">IF(ROWS($1:53)&gt;COUNT(Dong2),"",OFFSET(TH!F$1,SMALL(Dong2,ROWS($1:53)),))</f>
        <v/>
      </c>
      <c r="E64" s="247" t="str">
        <f ca="1">IF(ROWS($1:53)&gt;COUNT(Dong2),"",OFFSET(TH!G$1,SMALL(Dong2,ROWS($1:53)),))</f>
        <v/>
      </c>
      <c r="F64" s="219" t="str">
        <f ca="1">IF(ROWS($1:53)&gt;COUNT(Dong2),"",IF(OFFSET(TH!K$1,SMALL(Dong2,ROWS($1:53)),)="1121",OFFSET(TH!J$1,SMALL(Dong2,ROWS($1:53)),),OFFSET(TH!K$1,SMALL(Dong2,ROWS($1:53)),)))</f>
        <v/>
      </c>
      <c r="G64" s="220" t="str">
        <f ca="1">IF(ROWS($1:53)&gt;COUNT(Dong2),"",IF(OFFSET(TH!J$1,SMALL(Dong2,ROWS($1:53)),)="1121",OFFSET(TH!I$1,SMALL(Dong2,ROWS($1:53)),),0))</f>
        <v/>
      </c>
      <c r="H64" s="220" t="str">
        <f ca="1">IF(ROWS($1:53)&gt;COUNT(Dong2),"",IF(OFFSET(TH!K$1,SMALL(Dong2,ROWS($1:53)),)="1121",OFFSET(TH!I$1,SMALL(Dong2,ROWS($1:53)),),0))</f>
        <v/>
      </c>
      <c r="I64" s="221">
        <f t="shared" ca="1" si="2"/>
        <v>0</v>
      </c>
      <c r="J64" s="221"/>
    </row>
    <row r="65" spans="1:12" s="206" customFormat="1" ht="18" customHeight="1">
      <c r="A65" s="219" t="str">
        <f ca="1">IF(ROWS($1:54)&gt;COUNT(Dong2),"",OFFSET(TH!C$1,SMALL(Dong2,ROWS($1:54)),))</f>
        <v/>
      </c>
      <c r="B65" s="219" t="str">
        <f ca="1">IF(ROWS($1:54)&gt;COUNT(Dong2),"",OFFSET(TH!D$1,SMALL(Dong2,ROWS($1:54)),))</f>
        <v/>
      </c>
      <c r="C65" s="219" t="str">
        <f ca="1">IF(ROWS($1:54)&gt;COUNT(Dong2),"",OFFSET(TH!E$1,SMALL(Dong2,ROWS($1:54)),))</f>
        <v/>
      </c>
      <c r="D65" s="247" t="str">
        <f ca="1">IF(ROWS($1:54)&gt;COUNT(Dong2),"",OFFSET(TH!F$1,SMALL(Dong2,ROWS($1:54)),))</f>
        <v/>
      </c>
      <c r="E65" s="247" t="str">
        <f ca="1">IF(ROWS($1:54)&gt;COUNT(Dong2),"",OFFSET(TH!G$1,SMALL(Dong2,ROWS($1:54)),))</f>
        <v/>
      </c>
      <c r="F65" s="219" t="str">
        <f ca="1">IF(ROWS($1:54)&gt;COUNT(Dong2),"",IF(OFFSET(TH!K$1,SMALL(Dong2,ROWS($1:54)),)="1121",OFFSET(TH!J$1,SMALL(Dong2,ROWS($1:54)),),OFFSET(TH!K$1,SMALL(Dong2,ROWS($1:54)),)))</f>
        <v/>
      </c>
      <c r="G65" s="220" t="str">
        <f ca="1">IF(ROWS($1:54)&gt;COUNT(Dong2),"",IF(OFFSET(TH!J$1,SMALL(Dong2,ROWS($1:54)),)="1121",OFFSET(TH!I$1,SMALL(Dong2,ROWS($1:54)),),0))</f>
        <v/>
      </c>
      <c r="H65" s="220" t="str">
        <f ca="1">IF(ROWS($1:54)&gt;COUNT(Dong2),"",IF(OFFSET(TH!K$1,SMALL(Dong2,ROWS($1:54)),)="1121",OFFSET(TH!I$1,SMALL(Dong2,ROWS($1:54)),),0))</f>
        <v/>
      </c>
      <c r="I65" s="221">
        <f t="shared" ca="1" si="2"/>
        <v>0</v>
      </c>
      <c r="J65" s="221"/>
    </row>
    <row r="66" spans="1:12" s="206" customFormat="1" ht="18" customHeight="1">
      <c r="A66" s="219" t="str">
        <f ca="1">IF(ROWS($1:55)&gt;COUNT(Dong2),"",OFFSET(TH!C$1,SMALL(Dong2,ROWS($1:55)),))</f>
        <v/>
      </c>
      <c r="B66" s="219" t="str">
        <f ca="1">IF(ROWS($1:55)&gt;COUNT(Dong2),"",OFFSET(TH!D$1,SMALL(Dong2,ROWS($1:55)),))</f>
        <v/>
      </c>
      <c r="C66" s="219" t="str">
        <f ca="1">IF(ROWS($1:55)&gt;COUNT(Dong2),"",OFFSET(TH!E$1,SMALL(Dong2,ROWS($1:55)),))</f>
        <v/>
      </c>
      <c r="D66" s="247" t="str">
        <f ca="1">IF(ROWS($1:55)&gt;COUNT(Dong2),"",OFFSET(TH!F$1,SMALL(Dong2,ROWS($1:55)),))</f>
        <v/>
      </c>
      <c r="E66" s="247" t="str">
        <f ca="1">IF(ROWS($1:55)&gt;COUNT(Dong2),"",OFFSET(TH!G$1,SMALL(Dong2,ROWS($1:55)),))</f>
        <v/>
      </c>
      <c r="F66" s="219" t="str">
        <f ca="1">IF(ROWS($1:55)&gt;COUNT(Dong2),"",IF(OFFSET(TH!K$1,SMALL(Dong2,ROWS($1:55)),)="1121",OFFSET(TH!J$1,SMALL(Dong2,ROWS($1:55)),),OFFSET(TH!K$1,SMALL(Dong2,ROWS($1:55)),)))</f>
        <v/>
      </c>
      <c r="G66" s="220" t="str">
        <f ca="1">IF(ROWS($1:55)&gt;COUNT(Dong2),"",IF(OFFSET(TH!J$1,SMALL(Dong2,ROWS($1:55)),)="1121",OFFSET(TH!I$1,SMALL(Dong2,ROWS($1:55)),),0))</f>
        <v/>
      </c>
      <c r="H66" s="220" t="str">
        <f ca="1">IF(ROWS($1:55)&gt;COUNT(Dong2),"",IF(OFFSET(TH!K$1,SMALL(Dong2,ROWS($1:55)),)="1121",OFFSET(TH!I$1,SMALL(Dong2,ROWS($1:55)),),0))</f>
        <v/>
      </c>
      <c r="I66" s="221">
        <f t="shared" ref="I66:I69" ca="1" si="3">IF(A66&lt;&gt;"",I65+G66-H66,0)</f>
        <v>0</v>
      </c>
      <c r="J66" s="221"/>
    </row>
    <row r="67" spans="1:12" s="206" customFormat="1" ht="18" customHeight="1">
      <c r="A67" s="219" t="str">
        <f ca="1">IF(ROWS($1:56)&gt;COUNT(Dong2),"",OFFSET(TH!C$1,SMALL(Dong2,ROWS($1:56)),))</f>
        <v/>
      </c>
      <c r="B67" s="219" t="str">
        <f ca="1">IF(ROWS($1:56)&gt;COUNT(Dong2),"",OFFSET(TH!D$1,SMALL(Dong2,ROWS($1:56)),))</f>
        <v/>
      </c>
      <c r="C67" s="219" t="str">
        <f ca="1">IF(ROWS($1:56)&gt;COUNT(Dong2),"",OFFSET(TH!E$1,SMALL(Dong2,ROWS($1:56)),))</f>
        <v/>
      </c>
      <c r="D67" s="247" t="str">
        <f ca="1">IF(ROWS($1:56)&gt;COUNT(Dong2),"",OFFSET(TH!F$1,SMALL(Dong2,ROWS($1:56)),))</f>
        <v/>
      </c>
      <c r="E67" s="247" t="str">
        <f ca="1">IF(ROWS($1:56)&gt;COUNT(Dong2),"",OFFSET(TH!G$1,SMALL(Dong2,ROWS($1:56)),))</f>
        <v/>
      </c>
      <c r="F67" s="219" t="str">
        <f ca="1">IF(ROWS($1:56)&gt;COUNT(Dong2),"",IF(OFFSET(TH!K$1,SMALL(Dong2,ROWS($1:56)),)="1121",OFFSET(TH!J$1,SMALL(Dong2,ROWS($1:56)),),OFFSET(TH!K$1,SMALL(Dong2,ROWS($1:56)),)))</f>
        <v/>
      </c>
      <c r="G67" s="220" t="str">
        <f ca="1">IF(ROWS($1:56)&gt;COUNT(Dong2),"",IF(OFFSET(TH!J$1,SMALL(Dong2,ROWS($1:56)),)="1121",OFFSET(TH!I$1,SMALL(Dong2,ROWS($1:56)),),0))</f>
        <v/>
      </c>
      <c r="H67" s="220" t="str">
        <f ca="1">IF(ROWS($1:56)&gt;COUNT(Dong2),"",IF(OFFSET(TH!K$1,SMALL(Dong2,ROWS($1:56)),)="1121",OFFSET(TH!I$1,SMALL(Dong2,ROWS($1:56)),),0))</f>
        <v/>
      </c>
      <c r="I67" s="221">
        <f t="shared" ca="1" si="3"/>
        <v>0</v>
      </c>
      <c r="J67" s="221"/>
    </row>
    <row r="68" spans="1:12" s="206" customFormat="1" ht="18" customHeight="1">
      <c r="A68" s="219" t="str">
        <f ca="1">IF(ROWS($1:57)&gt;COUNT(Dong2),"",OFFSET(TH!C$1,SMALL(Dong2,ROWS($1:57)),))</f>
        <v/>
      </c>
      <c r="B68" s="219" t="str">
        <f ca="1">IF(ROWS($1:57)&gt;COUNT(Dong2),"",OFFSET(TH!D$1,SMALL(Dong2,ROWS($1:57)),))</f>
        <v/>
      </c>
      <c r="C68" s="219" t="str">
        <f ca="1">IF(ROWS($1:57)&gt;COUNT(Dong2),"",OFFSET(TH!E$1,SMALL(Dong2,ROWS($1:57)),))</f>
        <v/>
      </c>
      <c r="D68" s="247" t="str">
        <f ca="1">IF(ROWS($1:57)&gt;COUNT(Dong2),"",OFFSET(TH!F$1,SMALL(Dong2,ROWS($1:57)),))</f>
        <v/>
      </c>
      <c r="E68" s="247" t="str">
        <f ca="1">IF(ROWS($1:57)&gt;COUNT(Dong2),"",OFFSET(TH!G$1,SMALL(Dong2,ROWS($1:57)),))</f>
        <v/>
      </c>
      <c r="F68" s="219" t="str">
        <f ca="1">IF(ROWS($1:57)&gt;COUNT(Dong2),"",IF(OFFSET(TH!K$1,SMALL(Dong2,ROWS($1:57)),)="1121",OFFSET(TH!J$1,SMALL(Dong2,ROWS($1:57)),),OFFSET(TH!K$1,SMALL(Dong2,ROWS($1:57)),)))</f>
        <v/>
      </c>
      <c r="G68" s="220" t="str">
        <f ca="1">IF(ROWS($1:57)&gt;COUNT(Dong2),"",IF(OFFSET(TH!J$1,SMALL(Dong2,ROWS($1:57)),)="1121",OFFSET(TH!I$1,SMALL(Dong2,ROWS($1:57)),),0))</f>
        <v/>
      </c>
      <c r="H68" s="220" t="str">
        <f ca="1">IF(ROWS($1:57)&gt;COUNT(Dong2),"",IF(OFFSET(TH!K$1,SMALL(Dong2,ROWS($1:57)),)="1121",OFFSET(TH!I$1,SMALL(Dong2,ROWS($1:57)),),0))</f>
        <v/>
      </c>
      <c r="I68" s="221">
        <f t="shared" ca="1" si="3"/>
        <v>0</v>
      </c>
      <c r="J68" s="221"/>
    </row>
    <row r="69" spans="1:12" s="206" customFormat="1" ht="18" customHeight="1">
      <c r="A69" s="219" t="str">
        <f ca="1">IF(ROWS($1:58)&gt;COUNT(Dong2),"",OFFSET(TH!C$1,SMALL(Dong2,ROWS($1:58)),))</f>
        <v/>
      </c>
      <c r="B69" s="219" t="str">
        <f ca="1">IF(ROWS($1:58)&gt;COUNT(Dong2),"",OFFSET(TH!D$1,SMALL(Dong2,ROWS($1:58)),))</f>
        <v/>
      </c>
      <c r="C69" s="219" t="str">
        <f ca="1">IF(ROWS($1:58)&gt;COUNT(Dong2),"",OFFSET(TH!E$1,SMALL(Dong2,ROWS($1:58)),))</f>
        <v/>
      </c>
      <c r="D69" s="247" t="str">
        <f ca="1">IF(ROWS($1:58)&gt;COUNT(Dong2),"",OFFSET(TH!F$1,SMALL(Dong2,ROWS($1:58)),))</f>
        <v/>
      </c>
      <c r="E69" s="247" t="str">
        <f ca="1">IF(ROWS($1:58)&gt;COUNT(Dong2),"",OFFSET(TH!G$1,SMALL(Dong2,ROWS($1:58)),))</f>
        <v/>
      </c>
      <c r="F69" s="219" t="str">
        <f ca="1">IF(ROWS($1:58)&gt;COUNT(Dong2),"",IF(OFFSET(TH!K$1,SMALL(Dong2,ROWS($1:58)),)="1121",OFFSET(TH!J$1,SMALL(Dong2,ROWS($1:58)),),OFFSET(TH!K$1,SMALL(Dong2,ROWS($1:58)),)))</f>
        <v/>
      </c>
      <c r="G69" s="220" t="str">
        <f ca="1">IF(ROWS($1:58)&gt;COUNT(Dong2),"",IF(OFFSET(TH!J$1,SMALL(Dong2,ROWS($1:58)),)="1121",OFFSET(TH!I$1,SMALL(Dong2,ROWS($1:58)),),0))</f>
        <v/>
      </c>
      <c r="H69" s="220" t="str">
        <f ca="1">IF(ROWS($1:58)&gt;COUNT(Dong2),"",IF(OFFSET(TH!K$1,SMALL(Dong2,ROWS($1:58)),)="1121",OFFSET(TH!I$1,SMALL(Dong2,ROWS($1:58)),),0))</f>
        <v/>
      </c>
      <c r="I69" s="221">
        <f t="shared" ca="1" si="3"/>
        <v>0</v>
      </c>
      <c r="J69" s="221"/>
    </row>
    <row r="70" spans="1:12" s="206" customFormat="1" ht="18" customHeight="1">
      <c r="A70" s="219"/>
      <c r="B70" s="219"/>
      <c r="C70" s="219"/>
      <c r="D70" s="247"/>
      <c r="E70" s="247"/>
      <c r="F70" s="219"/>
      <c r="G70" s="220"/>
      <c r="H70" s="220"/>
      <c r="I70" s="221"/>
      <c r="J70" s="221"/>
    </row>
    <row r="71" spans="1:12" s="218" customFormat="1" ht="18" customHeight="1">
      <c r="A71" s="222"/>
      <c r="B71" s="223"/>
      <c r="C71" s="222"/>
      <c r="D71" s="216" t="s">
        <v>209</v>
      </c>
      <c r="E71" s="216"/>
      <c r="F71" s="224"/>
      <c r="G71" s="225">
        <f ca="1">SUM(G12:G70)</f>
        <v>4218008594</v>
      </c>
      <c r="H71" s="225">
        <f ca="1">SUM(H12:H70)</f>
        <v>4556258054</v>
      </c>
      <c r="I71" s="225">
        <f ca="1">I11+G71-H71</f>
        <v>500905227</v>
      </c>
      <c r="J71" s="224"/>
    </row>
    <row r="72" spans="1:12" s="218" customFormat="1" ht="18" customHeight="1">
      <c r="A72" s="222"/>
      <c r="B72" s="223"/>
      <c r="C72" s="222"/>
      <c r="D72" s="216" t="s">
        <v>12</v>
      </c>
      <c r="E72" s="216"/>
      <c r="F72" s="224"/>
      <c r="G72" s="216"/>
      <c r="H72" s="216"/>
      <c r="I72" s="225">
        <f ca="1">I71</f>
        <v>500905227</v>
      </c>
      <c r="J72" s="224"/>
    </row>
    <row r="73" spans="1:12" s="218" customFormat="1" ht="22.5" customHeight="1">
      <c r="A73" s="275" t="s">
        <v>228</v>
      </c>
      <c r="B73" s="226"/>
      <c r="G73" s="227"/>
      <c r="J73" s="228"/>
    </row>
    <row r="74" spans="1:12" s="218" customFormat="1" ht="12.75">
      <c r="A74" s="274" t="str">
        <f ca="1">"- Ngày mở sổ: "&amp;DAY($A$12)&amp;"/"&amp;MONTH($A$12)&amp;"/ 2014"</f>
        <v>- Ngày mở sổ: 3/10/ 2014</v>
      </c>
      <c r="B74" s="229"/>
      <c r="G74" s="227"/>
      <c r="J74" s="228"/>
    </row>
    <row r="75" spans="1:12" s="218" customFormat="1" ht="12.75">
      <c r="A75" s="230"/>
      <c r="B75" s="231"/>
      <c r="C75" s="232"/>
      <c r="G75" s="227"/>
      <c r="I75" s="438" t="str">
        <f>"Ngày "&amp;IF(OR($O$9=3,$O$9=12),"31","30")&amp;" tháng "&amp;$O$9&amp;"  năm  2014 "</f>
        <v xml:space="preserve">Ngày 31 tháng 12  năm  2014 </v>
      </c>
    </row>
    <row r="76" spans="1:12" s="218" customFormat="1" ht="17.25" customHeight="1">
      <c r="A76" s="537" t="s">
        <v>13</v>
      </c>
      <c r="B76" s="537"/>
      <c r="C76" s="231"/>
      <c r="F76" s="233" t="s">
        <v>14</v>
      </c>
      <c r="G76" s="234"/>
      <c r="H76" s="538" t="s">
        <v>178</v>
      </c>
      <c r="I76" s="538"/>
      <c r="J76" s="538"/>
      <c r="K76" s="235"/>
      <c r="L76" s="230"/>
    </row>
    <row r="77" spans="1:12" s="218" customFormat="1" ht="12.75">
      <c r="A77" s="539" t="s">
        <v>15</v>
      </c>
      <c r="B77" s="539"/>
      <c r="C77" s="236"/>
      <c r="F77" s="237" t="s">
        <v>15</v>
      </c>
      <c r="G77" s="238"/>
      <c r="H77" s="540" t="s">
        <v>212</v>
      </c>
      <c r="I77" s="540"/>
      <c r="J77" s="540"/>
      <c r="L77" s="239"/>
    </row>
  </sheetData>
  <autoFilter ref="A10:L74">
    <filterColumn colId="5"/>
  </autoFilter>
  <mergeCells count="17">
    <mergeCell ref="H1:J1"/>
    <mergeCell ref="H2:J2"/>
    <mergeCell ref="H3:J3"/>
    <mergeCell ref="A4:J4"/>
    <mergeCell ref="A5:J5"/>
    <mergeCell ref="A6:J6"/>
    <mergeCell ref="A8:A9"/>
    <mergeCell ref="B8:C8"/>
    <mergeCell ref="D8:D9"/>
    <mergeCell ref="F8:F9"/>
    <mergeCell ref="G8:I8"/>
    <mergeCell ref="J8:J9"/>
    <mergeCell ref="N8:O8"/>
    <mergeCell ref="A76:B76"/>
    <mergeCell ref="H76:J76"/>
    <mergeCell ref="A77:B77"/>
    <mergeCell ref="H77:J77"/>
  </mergeCells>
  <dataValidations count="1">
    <dataValidation type="list" allowBlank="1" showInputMessage="1" showErrorMessage="1" sqref="L9">
      <formula1>"All,Quý I, Quý II, Quý III, Quý IV"</formula1>
    </dataValidation>
  </dataValidations>
  <printOptions horizontalCentered="1"/>
  <pageMargins left="0.5" right="0.25" top="0.5" bottom="0.5" header="0.5" footer="0.5"/>
  <pageSetup scale="8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2" tint="-0.749992370372631"/>
  </sheetPr>
  <dimension ref="A1:J41"/>
  <sheetViews>
    <sheetView topLeftCell="A8" workbookViewId="0">
      <pane ySplit="4" topLeftCell="A20" activePane="bottomLeft" state="frozen"/>
      <selection activeCell="A8" sqref="A8"/>
      <selection pane="bottomLeft" activeCell="E40" sqref="E40"/>
    </sheetView>
  </sheetViews>
  <sheetFormatPr defaultRowHeight="15"/>
  <cols>
    <col min="1" max="1" width="9.85546875" style="4" customWidth="1"/>
    <col min="2" max="2" width="10.28515625" style="249" customWidth="1"/>
    <col min="3" max="3" width="40.85546875" style="5" customWidth="1"/>
    <col min="4" max="5" width="19.140625" style="5" customWidth="1"/>
    <col min="6" max="6" width="3" style="5" customWidth="1"/>
    <col min="7" max="7" width="9.140625" style="5"/>
    <col min="8" max="8" width="3.28515625" style="5" hidden="1" customWidth="1"/>
    <col min="9" max="10" width="4.7109375" style="5" hidden="1" customWidth="1"/>
    <col min="11" max="11" width="0" style="5" hidden="1" customWidth="1"/>
    <col min="12" max="256" width="9.140625" style="5"/>
    <col min="257" max="257" width="9.85546875" style="5" customWidth="1"/>
    <col min="258" max="258" width="10.28515625" style="5" customWidth="1"/>
    <col min="259" max="259" width="40.85546875" style="5" customWidth="1"/>
    <col min="260" max="261" width="19.140625" style="5" customWidth="1"/>
    <col min="262" max="512" width="9.140625" style="5"/>
    <col min="513" max="513" width="9.85546875" style="5" customWidth="1"/>
    <col min="514" max="514" width="10.28515625" style="5" customWidth="1"/>
    <col min="515" max="515" width="40.85546875" style="5" customWidth="1"/>
    <col min="516" max="517" width="19.140625" style="5" customWidth="1"/>
    <col min="518" max="768" width="9.140625" style="5"/>
    <col min="769" max="769" width="9.85546875" style="5" customWidth="1"/>
    <col min="770" max="770" width="10.28515625" style="5" customWidth="1"/>
    <col min="771" max="771" width="40.85546875" style="5" customWidth="1"/>
    <col min="772" max="773" width="19.140625" style="5" customWidth="1"/>
    <col min="774" max="1024" width="9.140625" style="5"/>
    <col min="1025" max="1025" width="9.85546875" style="5" customWidth="1"/>
    <col min="1026" max="1026" width="10.28515625" style="5" customWidth="1"/>
    <col min="1027" max="1027" width="40.85546875" style="5" customWidth="1"/>
    <col min="1028" max="1029" width="19.140625" style="5" customWidth="1"/>
    <col min="1030" max="1280" width="9.140625" style="5"/>
    <col min="1281" max="1281" width="9.85546875" style="5" customWidth="1"/>
    <col min="1282" max="1282" width="10.28515625" style="5" customWidth="1"/>
    <col min="1283" max="1283" width="40.85546875" style="5" customWidth="1"/>
    <col min="1284" max="1285" width="19.140625" style="5" customWidth="1"/>
    <col min="1286" max="1536" width="9.140625" style="5"/>
    <col min="1537" max="1537" width="9.85546875" style="5" customWidth="1"/>
    <col min="1538" max="1538" width="10.28515625" style="5" customWidth="1"/>
    <col min="1539" max="1539" width="40.85546875" style="5" customWidth="1"/>
    <col min="1540" max="1541" width="19.140625" style="5" customWidth="1"/>
    <col min="1542" max="1792" width="9.140625" style="5"/>
    <col min="1793" max="1793" width="9.85546875" style="5" customWidth="1"/>
    <col min="1794" max="1794" width="10.28515625" style="5" customWidth="1"/>
    <col min="1795" max="1795" width="40.85546875" style="5" customWidth="1"/>
    <col min="1796" max="1797" width="19.140625" style="5" customWidth="1"/>
    <col min="1798" max="2048" width="9.140625" style="5"/>
    <col min="2049" max="2049" width="9.85546875" style="5" customWidth="1"/>
    <col min="2050" max="2050" width="10.28515625" style="5" customWidth="1"/>
    <col min="2051" max="2051" width="40.85546875" style="5" customWidth="1"/>
    <col min="2052" max="2053" width="19.140625" style="5" customWidth="1"/>
    <col min="2054" max="2304" width="9.140625" style="5"/>
    <col min="2305" max="2305" width="9.85546875" style="5" customWidth="1"/>
    <col min="2306" max="2306" width="10.28515625" style="5" customWidth="1"/>
    <col min="2307" max="2307" width="40.85546875" style="5" customWidth="1"/>
    <col min="2308" max="2309" width="19.140625" style="5" customWidth="1"/>
    <col min="2310" max="2560" width="9.140625" style="5"/>
    <col min="2561" max="2561" width="9.85546875" style="5" customWidth="1"/>
    <col min="2562" max="2562" width="10.28515625" style="5" customWidth="1"/>
    <col min="2563" max="2563" width="40.85546875" style="5" customWidth="1"/>
    <col min="2564" max="2565" width="19.140625" style="5" customWidth="1"/>
    <col min="2566" max="2816" width="9.140625" style="5"/>
    <col min="2817" max="2817" width="9.85546875" style="5" customWidth="1"/>
    <col min="2818" max="2818" width="10.28515625" style="5" customWidth="1"/>
    <col min="2819" max="2819" width="40.85546875" style="5" customWidth="1"/>
    <col min="2820" max="2821" width="19.140625" style="5" customWidth="1"/>
    <col min="2822" max="3072" width="9.140625" style="5"/>
    <col min="3073" max="3073" width="9.85546875" style="5" customWidth="1"/>
    <col min="3074" max="3074" width="10.28515625" style="5" customWidth="1"/>
    <col min="3075" max="3075" width="40.85546875" style="5" customWidth="1"/>
    <col min="3076" max="3077" width="19.140625" style="5" customWidth="1"/>
    <col min="3078" max="3328" width="9.140625" style="5"/>
    <col min="3329" max="3329" width="9.85546875" style="5" customWidth="1"/>
    <col min="3330" max="3330" width="10.28515625" style="5" customWidth="1"/>
    <col min="3331" max="3331" width="40.85546875" style="5" customWidth="1"/>
    <col min="3332" max="3333" width="19.140625" style="5" customWidth="1"/>
    <col min="3334" max="3584" width="9.140625" style="5"/>
    <col min="3585" max="3585" width="9.85546875" style="5" customWidth="1"/>
    <col min="3586" max="3586" width="10.28515625" style="5" customWidth="1"/>
    <col min="3587" max="3587" width="40.85546875" style="5" customWidth="1"/>
    <col min="3588" max="3589" width="19.140625" style="5" customWidth="1"/>
    <col min="3590" max="3840" width="9.140625" style="5"/>
    <col min="3841" max="3841" width="9.85546875" style="5" customWidth="1"/>
    <col min="3842" max="3842" width="10.28515625" style="5" customWidth="1"/>
    <col min="3843" max="3843" width="40.85546875" style="5" customWidth="1"/>
    <col min="3844" max="3845" width="19.140625" style="5" customWidth="1"/>
    <col min="3846" max="4096" width="9.140625" style="5"/>
    <col min="4097" max="4097" width="9.85546875" style="5" customWidth="1"/>
    <col min="4098" max="4098" width="10.28515625" style="5" customWidth="1"/>
    <col min="4099" max="4099" width="40.85546875" style="5" customWidth="1"/>
    <col min="4100" max="4101" width="19.140625" style="5" customWidth="1"/>
    <col min="4102" max="4352" width="9.140625" style="5"/>
    <col min="4353" max="4353" width="9.85546875" style="5" customWidth="1"/>
    <col min="4354" max="4354" width="10.28515625" style="5" customWidth="1"/>
    <col min="4355" max="4355" width="40.85546875" style="5" customWidth="1"/>
    <col min="4356" max="4357" width="19.140625" style="5" customWidth="1"/>
    <col min="4358" max="4608" width="9.140625" style="5"/>
    <col min="4609" max="4609" width="9.85546875" style="5" customWidth="1"/>
    <col min="4610" max="4610" width="10.28515625" style="5" customWidth="1"/>
    <col min="4611" max="4611" width="40.85546875" style="5" customWidth="1"/>
    <col min="4612" max="4613" width="19.140625" style="5" customWidth="1"/>
    <col min="4614" max="4864" width="9.140625" style="5"/>
    <col min="4865" max="4865" width="9.85546875" style="5" customWidth="1"/>
    <col min="4866" max="4866" width="10.28515625" style="5" customWidth="1"/>
    <col min="4867" max="4867" width="40.85546875" style="5" customWidth="1"/>
    <col min="4868" max="4869" width="19.140625" style="5" customWidth="1"/>
    <col min="4870" max="5120" width="9.140625" style="5"/>
    <col min="5121" max="5121" width="9.85546875" style="5" customWidth="1"/>
    <col min="5122" max="5122" width="10.28515625" style="5" customWidth="1"/>
    <col min="5123" max="5123" width="40.85546875" style="5" customWidth="1"/>
    <col min="5124" max="5125" width="19.140625" style="5" customWidth="1"/>
    <col min="5126" max="5376" width="9.140625" style="5"/>
    <col min="5377" max="5377" width="9.85546875" style="5" customWidth="1"/>
    <col min="5378" max="5378" width="10.28515625" style="5" customWidth="1"/>
    <col min="5379" max="5379" width="40.85546875" style="5" customWidth="1"/>
    <col min="5380" max="5381" width="19.140625" style="5" customWidth="1"/>
    <col min="5382" max="5632" width="9.140625" style="5"/>
    <col min="5633" max="5633" width="9.85546875" style="5" customWidth="1"/>
    <col min="5634" max="5634" width="10.28515625" style="5" customWidth="1"/>
    <col min="5635" max="5635" width="40.85546875" style="5" customWidth="1"/>
    <col min="5636" max="5637" width="19.140625" style="5" customWidth="1"/>
    <col min="5638" max="5888" width="9.140625" style="5"/>
    <col min="5889" max="5889" width="9.85546875" style="5" customWidth="1"/>
    <col min="5890" max="5890" width="10.28515625" style="5" customWidth="1"/>
    <col min="5891" max="5891" width="40.85546875" style="5" customWidth="1"/>
    <col min="5892" max="5893" width="19.140625" style="5" customWidth="1"/>
    <col min="5894" max="6144" width="9.140625" style="5"/>
    <col min="6145" max="6145" width="9.85546875" style="5" customWidth="1"/>
    <col min="6146" max="6146" width="10.28515625" style="5" customWidth="1"/>
    <col min="6147" max="6147" width="40.85546875" style="5" customWidth="1"/>
    <col min="6148" max="6149" width="19.140625" style="5" customWidth="1"/>
    <col min="6150" max="6400" width="9.140625" style="5"/>
    <col min="6401" max="6401" width="9.85546875" style="5" customWidth="1"/>
    <col min="6402" max="6402" width="10.28515625" style="5" customWidth="1"/>
    <col min="6403" max="6403" width="40.85546875" style="5" customWidth="1"/>
    <col min="6404" max="6405" width="19.140625" style="5" customWidth="1"/>
    <col min="6406" max="6656" width="9.140625" style="5"/>
    <col min="6657" max="6657" width="9.85546875" style="5" customWidth="1"/>
    <col min="6658" max="6658" width="10.28515625" style="5" customWidth="1"/>
    <col min="6659" max="6659" width="40.85546875" style="5" customWidth="1"/>
    <col min="6660" max="6661" width="19.140625" style="5" customWidth="1"/>
    <col min="6662" max="6912" width="9.140625" style="5"/>
    <col min="6913" max="6913" width="9.85546875" style="5" customWidth="1"/>
    <col min="6914" max="6914" width="10.28515625" style="5" customWidth="1"/>
    <col min="6915" max="6915" width="40.85546875" style="5" customWidth="1"/>
    <col min="6916" max="6917" width="19.140625" style="5" customWidth="1"/>
    <col min="6918" max="7168" width="9.140625" style="5"/>
    <col min="7169" max="7169" width="9.85546875" style="5" customWidth="1"/>
    <col min="7170" max="7170" width="10.28515625" style="5" customWidth="1"/>
    <col min="7171" max="7171" width="40.85546875" style="5" customWidth="1"/>
    <col min="7172" max="7173" width="19.140625" style="5" customWidth="1"/>
    <col min="7174" max="7424" width="9.140625" style="5"/>
    <col min="7425" max="7425" width="9.85546875" style="5" customWidth="1"/>
    <col min="7426" max="7426" width="10.28515625" style="5" customWidth="1"/>
    <col min="7427" max="7427" width="40.85546875" style="5" customWidth="1"/>
    <col min="7428" max="7429" width="19.140625" style="5" customWidth="1"/>
    <col min="7430" max="7680" width="9.140625" style="5"/>
    <col min="7681" max="7681" width="9.85546875" style="5" customWidth="1"/>
    <col min="7682" max="7682" width="10.28515625" style="5" customWidth="1"/>
    <col min="7683" max="7683" width="40.85546875" style="5" customWidth="1"/>
    <col min="7684" max="7685" width="19.140625" style="5" customWidth="1"/>
    <col min="7686" max="7936" width="9.140625" style="5"/>
    <col min="7937" max="7937" width="9.85546875" style="5" customWidth="1"/>
    <col min="7938" max="7938" width="10.28515625" style="5" customWidth="1"/>
    <col min="7939" max="7939" width="40.85546875" style="5" customWidth="1"/>
    <col min="7940" max="7941" width="19.140625" style="5" customWidth="1"/>
    <col min="7942" max="8192" width="9.140625" style="5"/>
    <col min="8193" max="8193" width="9.85546875" style="5" customWidth="1"/>
    <col min="8194" max="8194" width="10.28515625" style="5" customWidth="1"/>
    <col min="8195" max="8195" width="40.85546875" style="5" customWidth="1"/>
    <col min="8196" max="8197" width="19.140625" style="5" customWidth="1"/>
    <col min="8198" max="8448" width="9.140625" style="5"/>
    <col min="8449" max="8449" width="9.85546875" style="5" customWidth="1"/>
    <col min="8450" max="8450" width="10.28515625" style="5" customWidth="1"/>
    <col min="8451" max="8451" width="40.85546875" style="5" customWidth="1"/>
    <col min="8452" max="8453" width="19.140625" style="5" customWidth="1"/>
    <col min="8454" max="8704" width="9.140625" style="5"/>
    <col min="8705" max="8705" width="9.85546875" style="5" customWidth="1"/>
    <col min="8706" max="8706" width="10.28515625" style="5" customWidth="1"/>
    <col min="8707" max="8707" width="40.85546875" style="5" customWidth="1"/>
    <col min="8708" max="8709" width="19.140625" style="5" customWidth="1"/>
    <col min="8710" max="8960" width="9.140625" style="5"/>
    <col min="8961" max="8961" width="9.85546875" style="5" customWidth="1"/>
    <col min="8962" max="8962" width="10.28515625" style="5" customWidth="1"/>
    <col min="8963" max="8963" width="40.85546875" style="5" customWidth="1"/>
    <col min="8964" max="8965" width="19.140625" style="5" customWidth="1"/>
    <col min="8966" max="9216" width="9.140625" style="5"/>
    <col min="9217" max="9217" width="9.85546875" style="5" customWidth="1"/>
    <col min="9218" max="9218" width="10.28515625" style="5" customWidth="1"/>
    <col min="9219" max="9219" width="40.85546875" style="5" customWidth="1"/>
    <col min="9220" max="9221" width="19.140625" style="5" customWidth="1"/>
    <col min="9222" max="9472" width="9.140625" style="5"/>
    <col min="9473" max="9473" width="9.85546875" style="5" customWidth="1"/>
    <col min="9474" max="9474" width="10.28515625" style="5" customWidth="1"/>
    <col min="9475" max="9475" width="40.85546875" style="5" customWidth="1"/>
    <col min="9476" max="9477" width="19.140625" style="5" customWidth="1"/>
    <col min="9478" max="9728" width="9.140625" style="5"/>
    <col min="9729" max="9729" width="9.85546875" style="5" customWidth="1"/>
    <col min="9730" max="9730" width="10.28515625" style="5" customWidth="1"/>
    <col min="9731" max="9731" width="40.85546875" style="5" customWidth="1"/>
    <col min="9732" max="9733" width="19.140625" style="5" customWidth="1"/>
    <col min="9734" max="9984" width="9.140625" style="5"/>
    <col min="9985" max="9985" width="9.85546875" style="5" customWidth="1"/>
    <col min="9986" max="9986" width="10.28515625" style="5" customWidth="1"/>
    <col min="9987" max="9987" width="40.85546875" style="5" customWidth="1"/>
    <col min="9988" max="9989" width="19.140625" style="5" customWidth="1"/>
    <col min="9990" max="10240" width="9.140625" style="5"/>
    <col min="10241" max="10241" width="9.85546875" style="5" customWidth="1"/>
    <col min="10242" max="10242" width="10.28515625" style="5" customWidth="1"/>
    <col min="10243" max="10243" width="40.85546875" style="5" customWidth="1"/>
    <col min="10244" max="10245" width="19.140625" style="5" customWidth="1"/>
    <col min="10246" max="10496" width="9.140625" style="5"/>
    <col min="10497" max="10497" width="9.85546875" style="5" customWidth="1"/>
    <col min="10498" max="10498" width="10.28515625" style="5" customWidth="1"/>
    <col min="10499" max="10499" width="40.85546875" style="5" customWidth="1"/>
    <col min="10500" max="10501" width="19.140625" style="5" customWidth="1"/>
    <col min="10502" max="10752" width="9.140625" style="5"/>
    <col min="10753" max="10753" width="9.85546875" style="5" customWidth="1"/>
    <col min="10754" max="10754" width="10.28515625" style="5" customWidth="1"/>
    <col min="10755" max="10755" width="40.85546875" style="5" customWidth="1"/>
    <col min="10756" max="10757" width="19.140625" style="5" customWidth="1"/>
    <col min="10758" max="11008" width="9.140625" style="5"/>
    <col min="11009" max="11009" width="9.85546875" style="5" customWidth="1"/>
    <col min="11010" max="11010" width="10.28515625" style="5" customWidth="1"/>
    <col min="11011" max="11011" width="40.85546875" style="5" customWidth="1"/>
    <col min="11012" max="11013" width="19.140625" style="5" customWidth="1"/>
    <col min="11014" max="11264" width="9.140625" style="5"/>
    <col min="11265" max="11265" width="9.85546875" style="5" customWidth="1"/>
    <col min="11266" max="11266" width="10.28515625" style="5" customWidth="1"/>
    <col min="11267" max="11267" width="40.85546875" style="5" customWidth="1"/>
    <col min="11268" max="11269" width="19.140625" style="5" customWidth="1"/>
    <col min="11270" max="11520" width="9.140625" style="5"/>
    <col min="11521" max="11521" width="9.85546875" style="5" customWidth="1"/>
    <col min="11522" max="11522" width="10.28515625" style="5" customWidth="1"/>
    <col min="11523" max="11523" width="40.85546875" style="5" customWidth="1"/>
    <col min="11524" max="11525" width="19.140625" style="5" customWidth="1"/>
    <col min="11526" max="11776" width="9.140625" style="5"/>
    <col min="11777" max="11777" width="9.85546875" style="5" customWidth="1"/>
    <col min="11778" max="11778" width="10.28515625" style="5" customWidth="1"/>
    <col min="11779" max="11779" width="40.85546875" style="5" customWidth="1"/>
    <col min="11780" max="11781" width="19.140625" style="5" customWidth="1"/>
    <col min="11782" max="12032" width="9.140625" style="5"/>
    <col min="12033" max="12033" width="9.85546875" style="5" customWidth="1"/>
    <col min="12034" max="12034" width="10.28515625" style="5" customWidth="1"/>
    <col min="12035" max="12035" width="40.85546875" style="5" customWidth="1"/>
    <col min="12036" max="12037" width="19.140625" style="5" customWidth="1"/>
    <col min="12038" max="12288" width="9.140625" style="5"/>
    <col min="12289" max="12289" width="9.85546875" style="5" customWidth="1"/>
    <col min="12290" max="12290" width="10.28515625" style="5" customWidth="1"/>
    <col min="12291" max="12291" width="40.85546875" style="5" customWidth="1"/>
    <col min="12292" max="12293" width="19.140625" style="5" customWidth="1"/>
    <col min="12294" max="12544" width="9.140625" style="5"/>
    <col min="12545" max="12545" width="9.85546875" style="5" customWidth="1"/>
    <col min="12546" max="12546" width="10.28515625" style="5" customWidth="1"/>
    <col min="12547" max="12547" width="40.85546875" style="5" customWidth="1"/>
    <col min="12548" max="12549" width="19.140625" style="5" customWidth="1"/>
    <col min="12550" max="12800" width="9.140625" style="5"/>
    <col min="12801" max="12801" width="9.85546875" style="5" customWidth="1"/>
    <col min="12802" max="12802" width="10.28515625" style="5" customWidth="1"/>
    <col min="12803" max="12803" width="40.85546875" style="5" customWidth="1"/>
    <col min="12804" max="12805" width="19.140625" style="5" customWidth="1"/>
    <col min="12806" max="13056" width="9.140625" style="5"/>
    <col min="13057" max="13057" width="9.85546875" style="5" customWidth="1"/>
    <col min="13058" max="13058" width="10.28515625" style="5" customWidth="1"/>
    <col min="13059" max="13059" width="40.85546875" style="5" customWidth="1"/>
    <col min="13060" max="13061" width="19.140625" style="5" customWidth="1"/>
    <col min="13062" max="13312" width="9.140625" style="5"/>
    <col min="13313" max="13313" width="9.85546875" style="5" customWidth="1"/>
    <col min="13314" max="13314" width="10.28515625" style="5" customWidth="1"/>
    <col min="13315" max="13315" width="40.85546875" style="5" customWidth="1"/>
    <col min="13316" max="13317" width="19.140625" style="5" customWidth="1"/>
    <col min="13318" max="13568" width="9.140625" style="5"/>
    <col min="13569" max="13569" width="9.85546875" style="5" customWidth="1"/>
    <col min="13570" max="13570" width="10.28515625" style="5" customWidth="1"/>
    <col min="13571" max="13571" width="40.85546875" style="5" customWidth="1"/>
    <col min="13572" max="13573" width="19.140625" style="5" customWidth="1"/>
    <col min="13574" max="13824" width="9.140625" style="5"/>
    <col min="13825" max="13825" width="9.85546875" style="5" customWidth="1"/>
    <col min="13826" max="13826" width="10.28515625" style="5" customWidth="1"/>
    <col min="13827" max="13827" width="40.85546875" style="5" customWidth="1"/>
    <col min="13828" max="13829" width="19.140625" style="5" customWidth="1"/>
    <col min="13830" max="14080" width="9.140625" style="5"/>
    <col min="14081" max="14081" width="9.85546875" style="5" customWidth="1"/>
    <col min="14082" max="14082" width="10.28515625" style="5" customWidth="1"/>
    <col min="14083" max="14083" width="40.85546875" style="5" customWidth="1"/>
    <col min="14084" max="14085" width="19.140625" style="5" customWidth="1"/>
    <col min="14086" max="14336" width="9.140625" style="5"/>
    <col min="14337" max="14337" width="9.85546875" style="5" customWidth="1"/>
    <col min="14338" max="14338" width="10.28515625" style="5" customWidth="1"/>
    <col min="14339" max="14339" width="40.85546875" style="5" customWidth="1"/>
    <col min="14340" max="14341" width="19.140625" style="5" customWidth="1"/>
    <col min="14342" max="14592" width="9.140625" style="5"/>
    <col min="14593" max="14593" width="9.85546875" style="5" customWidth="1"/>
    <col min="14594" max="14594" width="10.28515625" style="5" customWidth="1"/>
    <col min="14595" max="14595" width="40.85546875" style="5" customWidth="1"/>
    <col min="14596" max="14597" width="19.140625" style="5" customWidth="1"/>
    <col min="14598" max="14848" width="9.140625" style="5"/>
    <col min="14849" max="14849" width="9.85546875" style="5" customWidth="1"/>
    <col min="14850" max="14850" width="10.28515625" style="5" customWidth="1"/>
    <col min="14851" max="14851" width="40.85546875" style="5" customWidth="1"/>
    <col min="14852" max="14853" width="19.140625" style="5" customWidth="1"/>
    <col min="14854" max="15104" width="9.140625" style="5"/>
    <col min="15105" max="15105" width="9.85546875" style="5" customWidth="1"/>
    <col min="15106" max="15106" width="10.28515625" style="5" customWidth="1"/>
    <col min="15107" max="15107" width="40.85546875" style="5" customWidth="1"/>
    <col min="15108" max="15109" width="19.140625" style="5" customWidth="1"/>
    <col min="15110" max="15360" width="9.140625" style="5"/>
    <col min="15361" max="15361" width="9.85546875" style="5" customWidth="1"/>
    <col min="15362" max="15362" width="10.28515625" style="5" customWidth="1"/>
    <col min="15363" max="15363" width="40.85546875" style="5" customWidth="1"/>
    <col min="15364" max="15365" width="19.140625" style="5" customWidth="1"/>
    <col min="15366" max="15616" width="9.140625" style="5"/>
    <col min="15617" max="15617" width="9.85546875" style="5" customWidth="1"/>
    <col min="15618" max="15618" width="10.28515625" style="5" customWidth="1"/>
    <col min="15619" max="15619" width="40.85546875" style="5" customWidth="1"/>
    <col min="15620" max="15621" width="19.140625" style="5" customWidth="1"/>
    <col min="15622" max="15872" width="9.140625" style="5"/>
    <col min="15873" max="15873" width="9.85546875" style="5" customWidth="1"/>
    <col min="15874" max="15874" width="10.28515625" style="5" customWidth="1"/>
    <col min="15875" max="15875" width="40.85546875" style="5" customWidth="1"/>
    <col min="15876" max="15877" width="19.140625" style="5" customWidth="1"/>
    <col min="15878" max="16128" width="9.140625" style="5"/>
    <col min="16129" max="16129" width="9.85546875" style="5" customWidth="1"/>
    <col min="16130" max="16130" width="10.28515625" style="5" customWidth="1"/>
    <col min="16131" max="16131" width="40.85546875" style="5" customWidth="1"/>
    <col min="16132" max="16133" width="19.140625" style="5" customWidth="1"/>
    <col min="16134" max="16384" width="9.140625" style="5"/>
  </cols>
  <sheetData>
    <row r="1" spans="1:10" s="248" customFormat="1" ht="15.75" customHeight="1">
      <c r="A1" s="194" t="s">
        <v>185</v>
      </c>
      <c r="D1" s="554" t="s">
        <v>231</v>
      </c>
      <c r="E1" s="554"/>
      <c r="G1" s="2"/>
      <c r="I1" s="2"/>
    </row>
    <row r="2" spans="1:10" s="248" customFormat="1" ht="15.75" customHeight="1">
      <c r="A2" s="139" t="s">
        <v>186</v>
      </c>
      <c r="D2" s="555" t="s">
        <v>232</v>
      </c>
      <c r="E2" s="555"/>
      <c r="G2" s="17"/>
      <c r="I2" s="17"/>
    </row>
    <row r="3" spans="1:10" s="248" customFormat="1">
      <c r="D3" s="555" t="s">
        <v>233</v>
      </c>
      <c r="E3" s="555"/>
      <c r="F3" s="17"/>
      <c r="G3" s="17"/>
      <c r="I3" s="17"/>
    </row>
    <row r="4" spans="1:10" ht="8.25" customHeight="1"/>
    <row r="5" spans="1:10" ht="23.25" customHeight="1">
      <c r="A5" s="556" t="s">
        <v>234</v>
      </c>
      <c r="B5" s="556"/>
      <c r="C5" s="556"/>
      <c r="D5" s="556"/>
      <c r="E5" s="556"/>
    </row>
    <row r="6" spans="1:10" ht="18" customHeight="1">
      <c r="A6" s="557" t="str">
        <f>$G$9&amp;"  năm  2014 "</f>
        <v xml:space="preserve">Quý III  năm  2014 </v>
      </c>
      <c r="B6" s="557"/>
      <c r="C6" s="557"/>
      <c r="D6" s="557"/>
      <c r="E6" s="557"/>
    </row>
    <row r="7" spans="1:10" ht="10.5" customHeight="1"/>
    <row r="8" spans="1:10" s="250" customFormat="1" ht="20.25" customHeight="1" thickBot="1">
      <c r="A8" s="558" t="s">
        <v>1</v>
      </c>
      <c r="B8" s="558"/>
      <c r="C8" s="559" t="s">
        <v>0</v>
      </c>
      <c r="D8" s="559" t="s">
        <v>235</v>
      </c>
      <c r="E8" s="559" t="s">
        <v>236</v>
      </c>
      <c r="G8" s="195"/>
      <c r="H8" s="167"/>
      <c r="I8" s="532" t="s">
        <v>213</v>
      </c>
      <c r="J8" s="532"/>
    </row>
    <row r="9" spans="1:10" s="250" customFormat="1" ht="20.25" customHeight="1" thickBot="1">
      <c r="A9" s="251" t="s">
        <v>19</v>
      </c>
      <c r="B9" s="252" t="s">
        <v>42</v>
      </c>
      <c r="C9" s="559"/>
      <c r="D9" s="559"/>
      <c r="E9" s="559"/>
      <c r="G9" s="244" t="s">
        <v>352</v>
      </c>
      <c r="H9" s="167"/>
      <c r="I9" s="245">
        <f>IF(G9="Quý I",1,IF(G9="Quý II",4,IF(G9="Quý III",7,IF(G9="Quý IV",10,""))))</f>
        <v>7</v>
      </c>
      <c r="J9" s="246">
        <f>IF(G9="Quý I",3,IF(G9="Quý II",6,IF(G9="Quý III",9,IF(G9="Quý IV",12,""))))</f>
        <v>9</v>
      </c>
    </row>
    <row r="10" spans="1:10" s="256" customFormat="1" ht="11.25" customHeight="1">
      <c r="A10" s="253" t="s">
        <v>2</v>
      </c>
      <c r="B10" s="254" t="s">
        <v>3</v>
      </c>
      <c r="C10" s="254" t="s">
        <v>4</v>
      </c>
      <c r="D10" s="255" t="s">
        <v>237</v>
      </c>
      <c r="E10" s="255" t="s">
        <v>238</v>
      </c>
    </row>
    <row r="11" spans="1:10" s="256" customFormat="1" ht="18" customHeight="1">
      <c r="A11" s="257"/>
      <c r="B11" s="258"/>
      <c r="C11" s="259" t="s">
        <v>239</v>
      </c>
      <c r="D11" s="260">
        <f>IF($L$9="All",CDPS!$C$14,CDPS!$C$14+SUMIF(_N133,"x",TH)-SUMIF(_C133,"x",TH))</f>
        <v>11600690</v>
      </c>
      <c r="E11" s="260"/>
    </row>
    <row r="12" spans="1:10" s="256" customFormat="1" ht="18" customHeight="1">
      <c r="A12" s="261"/>
      <c r="B12" s="262"/>
      <c r="C12" s="263" t="s">
        <v>240</v>
      </c>
      <c r="D12" s="264"/>
      <c r="E12" s="264"/>
    </row>
    <row r="13" spans="1:10" ht="18" customHeight="1">
      <c r="A13" s="277" t="str">
        <f ca="1">IF(ROWS($1:1)&gt;COUNT(Dong3),"",OFFSET(TH!D$1,SMALL(Dong3,ROWS($1:1)),))</f>
        <v>GBN</v>
      </c>
      <c r="B13" s="265">
        <f ca="1">IF(ROWS($1:1)&gt;COUNT(Dong3),"",OFFSET(TH!E$1,SMALL(Dong3,ROWS($1:1)),))</f>
        <v>41821</v>
      </c>
      <c r="C13" s="276" t="str">
        <f ca="1">IF(ROWS($1:1)&gt;COUNT(Dong3),"",OFFSET(TH!F$1,SMALL(Dong3,ROWS($1:1)),))</f>
        <v>VAT Phí DV internet banking</v>
      </c>
      <c r="D13" s="278">
        <f ca="1">IF(ROWS($1:1)&gt;COUNT(Dong3),"",OFFSET(TH!I$1,SMALL(Dong3,ROWS($1:1)),))</f>
        <v>10000</v>
      </c>
      <c r="E13" s="266"/>
    </row>
    <row r="14" spans="1:10" ht="18" customHeight="1">
      <c r="A14" s="277" t="str">
        <f ca="1">IF(ROWS($1:2)&gt;COUNT(Dong3),"",OFFSET(TH!D$1,SMALL(Dong3,ROWS($1:2)),))</f>
        <v>GBN</v>
      </c>
      <c r="B14" s="265">
        <f ca="1">IF(ROWS($1:2)&gt;COUNT(Dong3),"",OFFSET(TH!E$1,SMALL(Dong3,ROWS($1:2)),))</f>
        <v>41843</v>
      </c>
      <c r="C14" s="276" t="str">
        <f ca="1">IF(ROWS($1:2)&gt;COUNT(Dong3),"",OFFSET(TH!F$1,SMALL(Dong3,ROWS($1:2)),))</f>
        <v xml:space="preserve">VAT Phí chuyển tiền </v>
      </c>
      <c r="D14" s="278">
        <f ca="1">IF(ROWS($1:2)&gt;COUNT(Dong3),"",OFFSET(TH!I$1,SMALL(Dong3,ROWS($1:2)),))</f>
        <v>4500</v>
      </c>
      <c r="E14" s="266"/>
    </row>
    <row r="15" spans="1:10" ht="18" customHeight="1">
      <c r="A15" s="277" t="str">
        <f ca="1">IF(ROWS($1:3)&gt;COUNT(Dong3),"",OFFSET(TH!D$1,SMALL(Dong3,ROWS($1:3)),))</f>
        <v>GBN</v>
      </c>
      <c r="B15" s="265">
        <f ca="1">IF(ROWS($1:3)&gt;COUNT(Dong3),"",OFFSET(TH!E$1,SMALL(Dong3,ROWS($1:3)),))</f>
        <v>41851</v>
      </c>
      <c r="C15" s="276" t="str">
        <f ca="1">IF(ROWS($1:3)&gt;COUNT(Dong3),"",OFFSET(TH!F$1,SMALL(Dong3,ROWS($1:3)),))</f>
        <v xml:space="preserve">VAT Phí chuyển tiền </v>
      </c>
      <c r="D15" s="278">
        <f ca="1">IF(ROWS($1:3)&gt;COUNT(Dong3),"",OFFSET(TH!I$1,SMALL(Dong3,ROWS($1:3)),))</f>
        <v>2500</v>
      </c>
      <c r="E15" s="266"/>
    </row>
    <row r="16" spans="1:10" ht="18" customHeight="1">
      <c r="A16" s="277" t="str">
        <f ca="1">IF(ROWS($1:4)&gt;COUNT(Dong3),"",OFFSET(TH!D$1,SMALL(Dong3,ROWS($1:4)),))</f>
        <v>GBN</v>
      </c>
      <c r="B16" s="265">
        <f ca="1">IF(ROWS($1:4)&gt;COUNT(Dong3),"",OFFSET(TH!E$1,SMALL(Dong3,ROWS($1:4)),))</f>
        <v>41857</v>
      </c>
      <c r="C16" s="276" t="str">
        <f ca="1">IF(ROWS($1:4)&gt;COUNT(Dong3),"",OFFSET(TH!F$1,SMALL(Dong3,ROWS($1:4)),))</f>
        <v xml:space="preserve">VAT Phí chuyển tiền </v>
      </c>
      <c r="D16" s="278">
        <f ca="1">IF(ROWS($1:4)&gt;COUNT(Dong3),"",OFFSET(TH!I$1,SMALL(Dong3,ROWS($1:4)),))</f>
        <v>2500</v>
      </c>
      <c r="E16" s="266"/>
    </row>
    <row r="17" spans="1:5" ht="18" customHeight="1">
      <c r="A17" s="277" t="str">
        <f ca="1">IF(ROWS($1:5)&gt;COUNT(Dong3),"",OFFSET(TH!D$1,SMALL(Dong3,ROWS($1:5)),))</f>
        <v>GBN</v>
      </c>
      <c r="B17" s="265">
        <f ca="1">IF(ROWS($1:5)&gt;COUNT(Dong3),"",OFFSET(TH!E$1,SMALL(Dong3,ROWS($1:5)),))</f>
        <v>41865</v>
      </c>
      <c r="C17" s="276" t="str">
        <f ca="1">IF(ROWS($1:5)&gt;COUNT(Dong3),"",OFFSET(TH!F$1,SMALL(Dong3,ROWS($1:5)),))</f>
        <v xml:space="preserve">VAT Phí chuyển tiền </v>
      </c>
      <c r="D17" s="278">
        <f ca="1">IF(ROWS($1:5)&gt;COUNT(Dong3),"",OFFSET(TH!I$1,SMALL(Dong3,ROWS($1:5)),))</f>
        <v>15127</v>
      </c>
      <c r="E17" s="266"/>
    </row>
    <row r="18" spans="1:5" ht="18" customHeight="1">
      <c r="A18" s="277" t="str">
        <f ca="1">IF(ROWS($1:6)&gt;COUNT(Dong3),"",OFFSET(TH!D$1,SMALL(Dong3,ROWS($1:6)),))</f>
        <v>GBN</v>
      </c>
      <c r="B18" s="265">
        <f ca="1">IF(ROWS($1:6)&gt;COUNT(Dong3),"",OFFSET(TH!E$1,SMALL(Dong3,ROWS($1:6)),))</f>
        <v>41871</v>
      </c>
      <c r="C18" s="276" t="str">
        <f ca="1">IF(ROWS($1:6)&gt;COUNT(Dong3),"",OFFSET(TH!F$1,SMALL(Dong3,ROWS($1:6)),))</f>
        <v xml:space="preserve">VAT Phí chuyển tiền </v>
      </c>
      <c r="D18" s="278">
        <f ca="1">IF(ROWS($1:6)&gt;COUNT(Dong3),"",OFFSET(TH!I$1,SMALL(Dong3,ROWS($1:6)),))</f>
        <v>2500</v>
      </c>
      <c r="E18" s="266"/>
    </row>
    <row r="19" spans="1:5" ht="18" customHeight="1">
      <c r="A19" s="277" t="str">
        <f ca="1">IF(ROWS($1:7)&gt;COUNT(Dong3),"",OFFSET(TH!D$1,SMALL(Dong3,ROWS($1:7)),))</f>
        <v>GBN</v>
      </c>
      <c r="B19" s="265">
        <f ca="1">IF(ROWS($1:7)&gt;COUNT(Dong3),"",OFFSET(TH!E$1,SMALL(Dong3,ROWS($1:7)),))</f>
        <v>41871</v>
      </c>
      <c r="C19" s="276" t="str">
        <f ca="1">IF(ROWS($1:7)&gt;COUNT(Dong3),"",OFFSET(TH!F$1,SMALL(Dong3,ROWS($1:7)),))</f>
        <v xml:space="preserve">VAT Phí chuyển tiền </v>
      </c>
      <c r="D19" s="278">
        <f ca="1">IF(ROWS($1:7)&gt;COUNT(Dong3),"",OFFSET(TH!I$1,SMALL(Dong3,ROWS($1:7)),))</f>
        <v>2400</v>
      </c>
      <c r="E19" s="266"/>
    </row>
    <row r="20" spans="1:5" ht="18" customHeight="1">
      <c r="A20" s="277" t="str">
        <f ca="1">IF(ROWS($1:8)&gt;COUNT(Dong3),"",OFFSET(TH!D$1,SMALL(Dong3,ROWS($1:8)),))</f>
        <v>GBN</v>
      </c>
      <c r="B20" s="265">
        <f ca="1">IF(ROWS($1:8)&gt;COUNT(Dong3),"",OFFSET(TH!E$1,SMALL(Dong3,ROWS($1:8)),))</f>
        <v>41871</v>
      </c>
      <c r="C20" s="276" t="str">
        <f ca="1">IF(ROWS($1:8)&gt;COUNT(Dong3),"",OFFSET(TH!F$1,SMALL(Dong3,ROWS($1:8)),))</f>
        <v xml:space="preserve">VAT Phí chuyển tiền </v>
      </c>
      <c r="D20" s="278">
        <f ca="1">IF(ROWS($1:8)&gt;COUNT(Dong3),"",OFFSET(TH!I$1,SMALL(Dong3,ROWS($1:8)),))</f>
        <v>2500</v>
      </c>
      <c r="E20" s="266"/>
    </row>
    <row r="21" spans="1:5" ht="18" customHeight="1">
      <c r="A21" s="277" t="str">
        <f ca="1">IF(ROWS($1:9)&gt;COUNT(Dong3),"",OFFSET(TH!D$1,SMALL(Dong3,ROWS($1:9)),))</f>
        <v>GBN</v>
      </c>
      <c r="B21" s="265">
        <f ca="1">IF(ROWS($1:9)&gt;COUNT(Dong3),"",OFFSET(TH!E$1,SMALL(Dong3,ROWS($1:9)),))</f>
        <v>41871</v>
      </c>
      <c r="C21" s="276" t="str">
        <f ca="1">IF(ROWS($1:9)&gt;COUNT(Dong3),"",OFFSET(TH!F$1,SMALL(Dong3,ROWS($1:9)),))</f>
        <v xml:space="preserve">VAT Phí chuyển tiền </v>
      </c>
      <c r="D21" s="278">
        <f ca="1">IF(ROWS($1:9)&gt;COUNT(Dong3),"",OFFSET(TH!I$1,SMALL(Dong3,ROWS($1:9)),))</f>
        <v>11363</v>
      </c>
      <c r="E21" s="266"/>
    </row>
    <row r="22" spans="1:5" ht="18" customHeight="1">
      <c r="A22" s="277" t="str">
        <f ca="1">IF(ROWS($1:10)&gt;COUNT(Dong3),"",OFFSET(TH!D$1,SMALL(Dong3,ROWS($1:10)),))</f>
        <v>GBN</v>
      </c>
      <c r="B22" s="265">
        <f ca="1">IF(ROWS($1:10)&gt;COUNT(Dong3),"",OFFSET(TH!E$1,SMALL(Dong3,ROWS($1:10)),))</f>
        <v>41871</v>
      </c>
      <c r="C22" s="276" t="str">
        <f ca="1">IF(ROWS($1:10)&gt;COUNT(Dong3),"",OFFSET(TH!F$1,SMALL(Dong3,ROWS($1:10)),))</f>
        <v>VAT Phí kiểm đếm</v>
      </c>
      <c r="D22" s="278">
        <f ca="1">IF(ROWS($1:10)&gt;COUNT(Dong3),"",OFFSET(TH!I$1,SMALL(Dong3,ROWS($1:10)),))</f>
        <v>4000</v>
      </c>
      <c r="E22" s="266"/>
    </row>
    <row r="23" spans="1:5" ht="18" customHeight="1">
      <c r="A23" s="277" t="str">
        <f ca="1">IF(ROWS($1:11)&gt;COUNT(Dong3),"",OFFSET(TH!D$1,SMALL(Dong3,ROWS($1:11)),))</f>
        <v>CTGS</v>
      </c>
      <c r="B23" s="265">
        <f ca="1">IF(ROWS($1:11)&gt;COUNT(Dong3),"",OFFSET(TH!E$1,SMALL(Dong3,ROWS($1:11)),))</f>
        <v>41872</v>
      </c>
      <c r="C23" s="276" t="str">
        <f ca="1">IF(ROWS($1:11)&gt;COUNT(Dong3),"",OFFSET(TH!F$1,SMALL(Dong3,ROWS($1:11)),))</f>
        <v>VAT Hợp đồng giao khoán số 13/HDGK/2014</v>
      </c>
      <c r="D23" s="278">
        <f ca="1">IF(ROWS($1:11)&gt;COUNT(Dong3),"",OFFSET(TH!I$1,SMALL(Dong3,ROWS($1:11)),))</f>
        <v>7272727</v>
      </c>
      <c r="E23" s="266"/>
    </row>
    <row r="24" spans="1:5" ht="18" customHeight="1">
      <c r="A24" s="277" t="str">
        <f ca="1">IF(ROWS($1:12)&gt;COUNT(Dong3),"",OFFSET(TH!D$1,SMALL(Dong3,ROWS($1:12)),))</f>
        <v>CTGS</v>
      </c>
      <c r="B24" s="265">
        <f ca="1">IF(ROWS($1:12)&gt;COUNT(Dong3),"",OFFSET(TH!E$1,SMALL(Dong3,ROWS($1:12)),))</f>
        <v>41877</v>
      </c>
      <c r="C24" s="276" t="str">
        <f ca="1">IF(ROWS($1:12)&gt;COUNT(Dong3),"",OFFSET(TH!F$1,SMALL(Dong3,ROWS($1:12)),))</f>
        <v>VAT Cọc bê tông</v>
      </c>
      <c r="D24" s="278">
        <f ca="1">IF(ROWS($1:12)&gt;COUNT(Dong3),"",OFFSET(TH!I$1,SMALL(Dong3,ROWS($1:12)),))</f>
        <v>144303400</v>
      </c>
      <c r="E24" s="266"/>
    </row>
    <row r="25" spans="1:5" ht="18" customHeight="1">
      <c r="A25" s="277" t="str">
        <f ca="1">IF(ROWS($1:13)&gt;COUNT(Dong3),"",OFFSET(TH!D$1,SMALL(Dong3,ROWS($1:13)),))</f>
        <v>GBN</v>
      </c>
      <c r="B25" s="265">
        <f ca="1">IF(ROWS($1:13)&gt;COUNT(Dong3),"",OFFSET(TH!E$1,SMALL(Dong3,ROWS($1:13)),))</f>
        <v>41894</v>
      </c>
      <c r="C25" s="276" t="str">
        <f ca="1">IF(ROWS($1:13)&gt;COUNT(Dong3),"",OFFSET(TH!F$1,SMALL(Dong3,ROWS($1:13)),))</f>
        <v xml:space="preserve">VAT Phí chuyển tiền </v>
      </c>
      <c r="D25" s="278">
        <f ca="1">IF(ROWS($1:13)&gt;COUNT(Dong3),"",OFFSET(TH!I$1,SMALL(Dong3,ROWS($1:13)),))</f>
        <v>2500</v>
      </c>
      <c r="E25" s="266"/>
    </row>
    <row r="26" spans="1:5" ht="18" customHeight="1">
      <c r="A26" s="277" t="str">
        <f ca="1">IF(ROWS($1:14)&gt;COUNT(Dong3),"",OFFSET(TH!D$1,SMALL(Dong3,ROWS($1:14)),))</f>
        <v>GBN</v>
      </c>
      <c r="B26" s="265">
        <f ca="1">IF(ROWS($1:14)&gt;COUNT(Dong3),"",OFFSET(TH!E$1,SMALL(Dong3,ROWS($1:14)),))</f>
        <v>41905</v>
      </c>
      <c r="C26" s="276" t="str">
        <f ca="1">IF(ROWS($1:14)&gt;COUNT(Dong3),"",OFFSET(TH!F$1,SMALL(Dong3,ROWS($1:14)),))</f>
        <v xml:space="preserve">VAT Phí chuyển tiền </v>
      </c>
      <c r="D26" s="278">
        <f ca="1">IF(ROWS($1:14)&gt;COUNT(Dong3),"",OFFSET(TH!I$1,SMALL(Dong3,ROWS($1:14)),))</f>
        <v>22578</v>
      </c>
      <c r="E26" s="266"/>
    </row>
    <row r="27" spans="1:5" ht="18" customHeight="1">
      <c r="A27" s="277" t="str">
        <f ca="1">IF(ROWS($1:15)&gt;COUNT(Dong3),"",OFFSET(TH!D$1,SMALL(Dong3,ROWS($1:15)),))</f>
        <v>GBN</v>
      </c>
      <c r="B27" s="265">
        <f ca="1">IF(ROWS($1:15)&gt;COUNT(Dong3),"",OFFSET(TH!E$1,SMALL(Dong3,ROWS($1:15)),))</f>
        <v>41905</v>
      </c>
      <c r="C27" s="276" t="str">
        <f ca="1">IF(ROWS($1:15)&gt;COUNT(Dong3),"",OFFSET(TH!F$1,SMALL(Dong3,ROWS($1:15)),))</f>
        <v xml:space="preserve">VAT Phí chuyển tiền </v>
      </c>
      <c r="D27" s="278">
        <f ca="1">IF(ROWS($1:15)&gt;COUNT(Dong3),"",OFFSET(TH!I$1,SMALL(Dong3,ROWS($1:15)),))</f>
        <v>40000</v>
      </c>
      <c r="E27" s="266"/>
    </row>
    <row r="28" spans="1:5" ht="18" customHeight="1">
      <c r="A28" s="277" t="str">
        <f ca="1">IF(ROWS($1:16)&gt;COUNT(Dong3),"",OFFSET(TH!D$1,SMALL(Dong3,ROWS($1:16)),))</f>
        <v>GBN</v>
      </c>
      <c r="B28" s="265">
        <f ca="1">IF(ROWS($1:16)&gt;COUNT(Dong3),"",OFFSET(TH!E$1,SMALL(Dong3,ROWS($1:16)),))</f>
        <v>41906</v>
      </c>
      <c r="C28" s="276" t="str">
        <f ca="1">IF(ROWS($1:16)&gt;COUNT(Dong3),"",OFFSET(TH!F$1,SMALL(Dong3,ROWS($1:16)),))</f>
        <v>VAT Phí điểu chỉnh lệnh chuyển tiền</v>
      </c>
      <c r="D28" s="278">
        <f ca="1">IF(ROWS($1:16)&gt;COUNT(Dong3),"",OFFSET(TH!I$1,SMALL(Dong3,ROWS($1:16)),))</f>
        <v>2000</v>
      </c>
      <c r="E28" s="266"/>
    </row>
    <row r="29" spans="1:5" ht="18" customHeight="1">
      <c r="A29" s="277" t="str">
        <f ca="1">IF(ROWS($1:17)&gt;COUNT(Dong3),"",OFFSET(TH!D$1,SMALL(Dong3,ROWS($1:17)),))</f>
        <v>GBN</v>
      </c>
      <c r="B29" s="265">
        <f ca="1">IF(ROWS($1:17)&gt;COUNT(Dong3),"",OFFSET(TH!E$1,SMALL(Dong3,ROWS($1:17)),))</f>
        <v>41907</v>
      </c>
      <c r="C29" s="276" t="str">
        <f ca="1">IF(ROWS($1:17)&gt;COUNT(Dong3),"",OFFSET(TH!F$1,SMALL(Dong3,ROWS($1:17)),))</f>
        <v>VAT Phí điểu chỉnh lệnh chuyển tiền</v>
      </c>
      <c r="D29" s="278">
        <f ca="1">IF(ROWS($1:17)&gt;COUNT(Dong3),"",OFFSET(TH!I$1,SMALL(Dong3,ROWS($1:17)),))</f>
        <v>2000</v>
      </c>
      <c r="E29" s="266"/>
    </row>
    <row r="30" spans="1:5" ht="18" customHeight="1">
      <c r="A30" s="277" t="str">
        <f ca="1">IF(ROWS($1:18)&gt;COUNT(Dong3),"",OFFSET(TH!D$1,SMALL(Dong3,ROWS($1:18)),))</f>
        <v>GBN</v>
      </c>
      <c r="B30" s="265">
        <f ca="1">IF(ROWS($1:18)&gt;COUNT(Dong3),"",OFFSET(TH!E$1,SMALL(Dong3,ROWS($1:18)),))</f>
        <v>41907</v>
      </c>
      <c r="C30" s="276" t="str">
        <f ca="1">IF(ROWS($1:18)&gt;COUNT(Dong3),"",OFFSET(TH!F$1,SMALL(Dong3,ROWS($1:18)),))</f>
        <v>VAT Phí duy trì DV SMS</v>
      </c>
      <c r="D30" s="278">
        <f ca="1">IF(ROWS($1:18)&gt;COUNT(Dong3),"",OFFSET(TH!I$1,SMALL(Dong3,ROWS($1:18)),))</f>
        <v>5000</v>
      </c>
      <c r="E30" s="266"/>
    </row>
    <row r="31" spans="1:5" ht="18" customHeight="1">
      <c r="A31" s="277" t="str">
        <f ca="1">IF(ROWS($1:19)&gt;COUNT(Dong3),"",OFFSET(TH!D$1,SMALL(Dong3,ROWS($1:19)),))</f>
        <v>GBN</v>
      </c>
      <c r="B31" s="265">
        <f ca="1">IF(ROWS($1:19)&gt;COUNT(Dong3),"",OFFSET(TH!E$1,SMALL(Dong3,ROWS($1:19)),))</f>
        <v>41907</v>
      </c>
      <c r="C31" s="276" t="str">
        <f ca="1">IF(ROWS($1:19)&gt;COUNT(Dong3),"",OFFSET(TH!F$1,SMALL(Dong3,ROWS($1:19)),))</f>
        <v>VAT Phí duy trì DV SMS</v>
      </c>
      <c r="D31" s="278">
        <f ca="1">IF(ROWS($1:19)&gt;COUNT(Dong3),"",OFFSET(TH!I$1,SMALL(Dong3,ROWS($1:19)),))</f>
        <v>5000</v>
      </c>
      <c r="E31" s="266"/>
    </row>
    <row r="32" spans="1:5" ht="18" customHeight="1">
      <c r="A32" s="277" t="str">
        <f ca="1">IF(ROWS($1:20)&gt;COUNT(Dong3),"",OFFSET(TH!D$1,SMALL(Dong3,ROWS($1:20)),))</f>
        <v>GBN</v>
      </c>
      <c r="B32" s="265">
        <f ca="1">IF(ROWS($1:20)&gt;COUNT(Dong3),"",OFFSET(TH!E$1,SMALL(Dong3,ROWS($1:20)),))</f>
        <v>41907</v>
      </c>
      <c r="C32" s="276" t="str">
        <f ca="1">IF(ROWS($1:20)&gt;COUNT(Dong3),"",OFFSET(TH!F$1,SMALL(Dong3,ROWS($1:20)),))</f>
        <v>VAT Phí duy trì DV SMS</v>
      </c>
      <c r="D32" s="278">
        <f ca="1">IF(ROWS($1:20)&gt;COUNT(Dong3),"",OFFSET(TH!I$1,SMALL(Dong3,ROWS($1:20)),))</f>
        <v>5000</v>
      </c>
      <c r="E32" s="266"/>
    </row>
    <row r="33" spans="1:5" ht="18" customHeight="1">
      <c r="A33" s="277" t="str">
        <f ca="1">IF(ROWS($1:21)&gt;COUNT(Dong3),"",OFFSET(TH!D$1,SMALL(Dong3,ROWS($1:21)),))</f>
        <v/>
      </c>
      <c r="B33" s="265" t="str">
        <f ca="1">IF(ROWS($1:21)&gt;COUNT(Dong3),"",OFFSET(TH!E$1,SMALL(Dong3,ROWS($1:21)),))</f>
        <v/>
      </c>
      <c r="C33" s="276" t="str">
        <f ca="1">IF(ROWS($1:21)&gt;COUNT(Dong3),"",OFFSET(TH!F$1,SMALL(Dong3,ROWS($1:21)),))</f>
        <v/>
      </c>
      <c r="D33" s="278" t="str">
        <f ca="1">IF(ROWS($1:21)&gt;COUNT(Dong3),"",OFFSET(TH!I$1,SMALL(Dong3,ROWS($1:21)),))</f>
        <v/>
      </c>
      <c r="E33" s="266"/>
    </row>
    <row r="34" spans="1:5" s="256" customFormat="1" ht="18" customHeight="1">
      <c r="A34" s="267"/>
      <c r="B34" s="268"/>
      <c r="C34" s="269" t="s">
        <v>241</v>
      </c>
      <c r="D34" s="270">
        <f ca="1">SUM(D13:D33)</f>
        <v>151717595</v>
      </c>
      <c r="E34" s="270">
        <f>SUM(E13:E33)</f>
        <v>0</v>
      </c>
    </row>
    <row r="35" spans="1:5" s="256" customFormat="1" ht="18" customHeight="1">
      <c r="A35" s="271"/>
      <c r="B35" s="272"/>
      <c r="C35" s="269" t="s">
        <v>242</v>
      </c>
      <c r="D35" s="270">
        <f ca="1">IF(D34+D11-E34&gt;0,D11+D34-E34,0)</f>
        <v>163318285</v>
      </c>
      <c r="E35" s="270"/>
    </row>
    <row r="37" spans="1:5">
      <c r="B37" s="273" t="s">
        <v>243</v>
      </c>
    </row>
    <row r="38" spans="1:5">
      <c r="B38" s="274" t="str">
        <f ca="1">IF(YEAR($B$13)&lt;&gt;2014,"- Ngày mở sổ: 01/01/2014","- Ngày mở sổ: "&amp;DAY($B$13)&amp;"/"&amp;MONTH($B$13)&amp;"/ 2014")</f>
        <v>- Ngày mở sổ: 1/7/ 2014</v>
      </c>
    </row>
    <row r="39" spans="1:5">
      <c r="D39" s="191" t="str">
        <f>"Trà Vinh, Ngày "&amp;IF(OR($J$9=3,$J$9=12),"31","30")&amp;" tháng "&amp;$J$9&amp;"  năm  2014 "</f>
        <v xml:space="preserve">Trà Vinh, Ngày 30 tháng 9  năm  2014 </v>
      </c>
    </row>
    <row r="40" spans="1:5" s="249" customFormat="1">
      <c r="A40" s="4"/>
      <c r="B40" s="249" t="s">
        <v>13</v>
      </c>
      <c r="D40" s="249" t="s">
        <v>14</v>
      </c>
    </row>
    <row r="41" spans="1:5" s="249" customFormat="1">
      <c r="A41" s="4"/>
      <c r="B41" s="249" t="s">
        <v>15</v>
      </c>
      <c r="D41" s="249" t="s">
        <v>15</v>
      </c>
    </row>
  </sheetData>
  <mergeCells count="10">
    <mergeCell ref="I8:J8"/>
    <mergeCell ref="D1:E1"/>
    <mergeCell ref="D2:E2"/>
    <mergeCell ref="D3:E3"/>
    <mergeCell ref="A5:E5"/>
    <mergeCell ref="A6:E6"/>
    <mergeCell ref="A8:B8"/>
    <mergeCell ref="C8:C9"/>
    <mergeCell ref="D8:D9"/>
    <mergeCell ref="E8:E9"/>
  </mergeCells>
  <dataValidations count="1">
    <dataValidation type="list" allowBlank="1" showInputMessage="1" showErrorMessage="1" sqref="G9">
      <formula1>"All,Quý I, Quý II, Quý III, Quý IV"</formula1>
    </dataValidation>
  </dataValidations>
  <printOptions horizontalCentered="1"/>
  <pageMargins left="0.59055118110236227" right="0.19685039370078741" top="0.59055118110236227" bottom="0.19685039370078741" header="0" footer="0"/>
  <pageSetup orientation="portrait" verticalDpi="0" r:id="rId1"/>
  <headerFooter alignWithMargins="0">
    <oddFooter>&amp;RTrang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J14"/>
  <sheetViews>
    <sheetView showZeros="0" workbookViewId="0">
      <pane ySplit="3" topLeftCell="A4" activePane="bottomLeft" state="frozen"/>
      <selection activeCell="B4" sqref="A4:N18"/>
      <selection pane="bottomLeft" activeCell="E22" sqref="E22"/>
    </sheetView>
  </sheetViews>
  <sheetFormatPr defaultColWidth="8" defaultRowHeight="13.5"/>
  <cols>
    <col min="1" max="1" width="4.28515625" style="279" customWidth="1"/>
    <col min="2" max="2" width="21.85546875" style="279" customWidth="1"/>
    <col min="3" max="4" width="8.7109375" style="279" customWidth="1"/>
    <col min="5" max="10" width="16.28515625" style="279" customWidth="1"/>
    <col min="11" max="16384" width="8" style="279"/>
  </cols>
  <sheetData>
    <row r="1" spans="1:10" ht="21.75" customHeight="1">
      <c r="A1" s="517" t="s">
        <v>363</v>
      </c>
      <c r="B1" s="517"/>
      <c r="C1" s="517"/>
      <c r="D1" s="517"/>
      <c r="E1" s="517"/>
      <c r="F1" s="517"/>
      <c r="G1" s="517"/>
      <c r="H1" s="517"/>
      <c r="I1" s="517"/>
      <c r="J1" s="517"/>
    </row>
    <row r="2" spans="1:10" s="10" customFormat="1" ht="24" customHeight="1">
      <c r="A2" s="518" t="s">
        <v>50</v>
      </c>
      <c r="B2" s="520" t="s">
        <v>244</v>
      </c>
      <c r="C2" s="520" t="s">
        <v>245</v>
      </c>
      <c r="D2" s="520" t="s">
        <v>258</v>
      </c>
      <c r="E2" s="280" t="s">
        <v>52</v>
      </c>
      <c r="F2" s="280"/>
      <c r="G2" s="280" t="s">
        <v>53</v>
      </c>
      <c r="H2" s="280"/>
      <c r="I2" s="280" t="s">
        <v>68</v>
      </c>
      <c r="J2" s="280"/>
    </row>
    <row r="3" spans="1:10" s="10" customFormat="1" ht="24" customHeight="1">
      <c r="A3" s="519"/>
      <c r="B3" s="521"/>
      <c r="C3" s="521"/>
      <c r="D3" s="521"/>
      <c r="E3" s="161" t="s">
        <v>69</v>
      </c>
      <c r="F3" s="161" t="s">
        <v>70</v>
      </c>
      <c r="G3" s="161" t="s">
        <v>69</v>
      </c>
      <c r="H3" s="161" t="s">
        <v>70</v>
      </c>
      <c r="I3" s="161" t="s">
        <v>69</v>
      </c>
      <c r="J3" s="161" t="s">
        <v>70</v>
      </c>
    </row>
    <row r="4" spans="1:10" s="10" customFormat="1" ht="18" customHeight="1">
      <c r="A4" s="6">
        <v>1</v>
      </c>
      <c r="B4" s="7" t="s">
        <v>166</v>
      </c>
      <c r="C4" s="281">
        <v>41870</v>
      </c>
      <c r="D4" s="281">
        <v>46253</v>
      </c>
      <c r="E4" s="8">
        <v>0</v>
      </c>
      <c r="F4" s="8">
        <v>0</v>
      </c>
      <c r="G4" s="8">
        <f t="array" ref="G4">SUM(IF("3411"&amp;B4=KHN&amp;KH,TH))</f>
        <v>0</v>
      </c>
      <c r="H4" s="8">
        <f t="array" ref="H4">SUM(IF("3411"&amp;B4=KHC&amp;KH,TH))</f>
        <v>1000000000</v>
      </c>
      <c r="I4" s="284">
        <f t="shared" ref="I4:I8" si="0">ROUND(MAX(E4+G4-F4-H4,0),2)</f>
        <v>0</v>
      </c>
      <c r="J4" s="284">
        <f t="shared" ref="J4:J8" si="1">ROUND(MAX(F4+H4-E4-G4,0),2)</f>
        <v>1000000000</v>
      </c>
    </row>
    <row r="5" spans="1:10" s="10" customFormat="1" ht="18" customHeight="1">
      <c r="A5" s="6">
        <v>2</v>
      </c>
      <c r="B5" s="7" t="s">
        <v>167</v>
      </c>
      <c r="C5" s="281">
        <v>41905</v>
      </c>
      <c r="D5" s="281">
        <v>46253</v>
      </c>
      <c r="E5" s="8">
        <v>0</v>
      </c>
      <c r="F5" s="8">
        <v>0</v>
      </c>
      <c r="G5" s="8">
        <f t="array" ref="G5">SUM(IF("3411"&amp;B5=KHN&amp;KH,TH))</f>
        <v>0</v>
      </c>
      <c r="H5" s="8">
        <f t="array" ref="H5">SUM(IF("3411"&amp;B5=KHC&amp;KH,TH))</f>
        <v>2000000000</v>
      </c>
      <c r="I5" s="284">
        <f t="shared" si="0"/>
        <v>0</v>
      </c>
      <c r="J5" s="284">
        <f t="shared" si="1"/>
        <v>2000000000</v>
      </c>
    </row>
    <row r="6" spans="1:10" s="10" customFormat="1" ht="18" customHeight="1">
      <c r="A6" s="6">
        <v>3</v>
      </c>
      <c r="B6" s="7" t="s">
        <v>169</v>
      </c>
      <c r="C6" s="281">
        <v>41934</v>
      </c>
      <c r="D6" s="281">
        <v>46253</v>
      </c>
      <c r="E6" s="8">
        <v>0</v>
      </c>
      <c r="F6" s="8">
        <v>0</v>
      </c>
      <c r="G6" s="8">
        <f t="array" ref="G6">SUM(IF("3411"&amp;B6=KHN&amp;KH,TH))</f>
        <v>0</v>
      </c>
      <c r="H6" s="8">
        <f t="array" ref="H6">SUM(IF("3411"&amp;B6=KHC&amp;KH,TH))</f>
        <v>1600000000</v>
      </c>
      <c r="I6" s="284">
        <f t="shared" si="0"/>
        <v>0</v>
      </c>
      <c r="J6" s="284">
        <f t="shared" si="1"/>
        <v>1600000000</v>
      </c>
    </row>
    <row r="7" spans="1:10" s="10" customFormat="1" ht="18" customHeight="1">
      <c r="A7" s="6">
        <v>4</v>
      </c>
      <c r="B7" s="7" t="s">
        <v>168</v>
      </c>
      <c r="C7" s="281">
        <v>41963</v>
      </c>
      <c r="D7" s="281">
        <v>46253</v>
      </c>
      <c r="E7" s="8">
        <v>0</v>
      </c>
      <c r="F7" s="8">
        <v>0</v>
      </c>
      <c r="G7" s="8">
        <f t="array" ref="G7">SUM(IF("3411"&amp;B7=KHN&amp;KH,TH))</f>
        <v>0</v>
      </c>
      <c r="H7" s="8">
        <f t="array" ref="H7">SUM(IF("3411"&amp;B7=KHC&amp;KH,TH))</f>
        <v>1500000000</v>
      </c>
      <c r="I7" s="284">
        <f t="shared" si="0"/>
        <v>0</v>
      </c>
      <c r="J7" s="284">
        <f t="shared" si="1"/>
        <v>1500000000</v>
      </c>
    </row>
    <row r="8" spans="1:10" s="10" customFormat="1" ht="18" customHeight="1">
      <c r="A8" s="6">
        <v>5</v>
      </c>
      <c r="B8" s="7" t="s">
        <v>170</v>
      </c>
      <c r="C8" s="281">
        <v>41984</v>
      </c>
      <c r="D8" s="281">
        <v>46253</v>
      </c>
      <c r="E8" s="8">
        <v>0</v>
      </c>
      <c r="F8" s="8">
        <v>0</v>
      </c>
      <c r="G8" s="8">
        <f t="array" ref="G8">SUM(IF("3411"&amp;B8=KHN&amp;KH,TH))</f>
        <v>0</v>
      </c>
      <c r="H8" s="8">
        <f t="array" ref="H8">SUM(IF("3411"&amp;B8=KHC&amp;KH,TH))</f>
        <v>1000000000</v>
      </c>
      <c r="I8" s="284">
        <f t="shared" si="0"/>
        <v>0</v>
      </c>
      <c r="J8" s="284">
        <f t="shared" si="1"/>
        <v>1000000000</v>
      </c>
    </row>
    <row r="9" spans="1:10" s="10" customFormat="1" ht="18" customHeight="1">
      <c r="A9" s="6"/>
      <c r="B9" s="285"/>
      <c r="C9" s="286"/>
      <c r="D9" s="286"/>
      <c r="E9" s="282"/>
      <c r="F9" s="282"/>
      <c r="G9" s="282"/>
      <c r="H9" s="282"/>
      <c r="I9" s="283"/>
      <c r="J9" s="283"/>
    </row>
    <row r="10" spans="1:10" s="14" customFormat="1" ht="18" customHeight="1">
      <c r="A10" s="11"/>
      <c r="B10" s="12" t="s">
        <v>62</v>
      </c>
      <c r="C10" s="12"/>
      <c r="D10" s="12"/>
      <c r="E10" s="13">
        <f t="shared" ref="E10:J10" si="2">SUM(E4:E9)</f>
        <v>0</v>
      </c>
      <c r="F10" s="13">
        <f t="shared" si="2"/>
        <v>0</v>
      </c>
      <c r="G10" s="13">
        <f t="shared" si="2"/>
        <v>0</v>
      </c>
      <c r="H10" s="13">
        <f t="shared" si="2"/>
        <v>7100000000</v>
      </c>
      <c r="I10" s="13">
        <f t="shared" si="2"/>
        <v>0</v>
      </c>
      <c r="J10" s="13">
        <f t="shared" si="2"/>
        <v>7100000000</v>
      </c>
    </row>
    <row r="14" spans="1:10">
      <c r="G14" s="287"/>
      <c r="H14" s="287"/>
    </row>
  </sheetData>
  <mergeCells count="5">
    <mergeCell ref="D2:D3"/>
    <mergeCell ref="A1:J1"/>
    <mergeCell ref="A2:A3"/>
    <mergeCell ref="B2:B3"/>
    <mergeCell ref="C2:C3"/>
  </mergeCells>
  <pageMargins left="0.65" right="0.15" top="0.36" bottom="0.21" header="0.2" footer="0"/>
  <pageSetup paperSize="9" scale="85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N33"/>
  <sheetViews>
    <sheetView workbookViewId="0">
      <selection activeCell="J16" sqref="J16"/>
    </sheetView>
  </sheetViews>
  <sheetFormatPr defaultRowHeight="12.75"/>
  <cols>
    <col min="1" max="1" width="9.140625" style="294"/>
    <col min="2" max="2" width="7.42578125" style="294" customWidth="1"/>
    <col min="3" max="3" width="9.140625" style="294"/>
    <col min="4" max="4" width="24" style="294" customWidth="1"/>
    <col min="5" max="5" width="6.85546875" style="294" customWidth="1"/>
    <col min="6" max="6" width="12.85546875" style="294" customWidth="1"/>
    <col min="7" max="8" width="14.28515625" style="294" customWidth="1"/>
    <col min="9" max="9" width="9.7109375" style="294" customWidth="1"/>
    <col min="10" max="10" width="12.140625" style="294" customWidth="1"/>
    <col min="11" max="11" width="10.85546875" style="294" customWidth="1"/>
    <col min="12" max="12" width="13.42578125" style="294" customWidth="1"/>
    <col min="13" max="13" width="10.85546875" style="294" customWidth="1"/>
    <col min="14" max="14" width="13.42578125" style="294" customWidth="1"/>
    <col min="15" max="16384" width="9.140625" style="294"/>
  </cols>
  <sheetData>
    <row r="1" spans="1:14" s="289" customFormat="1" ht="16.5" customHeight="1">
      <c r="A1" s="295" t="s">
        <v>16</v>
      </c>
      <c r="B1" s="288"/>
      <c r="C1" s="288"/>
      <c r="F1" s="296"/>
      <c r="G1" s="297" t="s">
        <v>246</v>
      </c>
      <c r="H1" s="288"/>
      <c r="I1" s="288"/>
      <c r="L1" s="288"/>
      <c r="M1" s="288"/>
      <c r="N1" s="288"/>
    </row>
    <row r="2" spans="1:14" s="289" customFormat="1" ht="16.5" customHeight="1">
      <c r="A2" s="298" t="s">
        <v>247</v>
      </c>
      <c r="B2" s="162"/>
      <c r="C2" s="162"/>
      <c r="F2" s="296"/>
      <c r="G2" s="289" t="s">
        <v>248</v>
      </c>
      <c r="H2" s="290"/>
      <c r="I2" s="290"/>
      <c r="L2" s="290"/>
      <c r="M2" s="290"/>
      <c r="N2" s="290"/>
    </row>
    <row r="3" spans="1:14" s="289" customFormat="1" ht="16.5" customHeight="1">
      <c r="A3" s="162"/>
      <c r="B3" s="162"/>
      <c r="C3" s="162"/>
      <c r="F3" s="296"/>
      <c r="G3" s="289" t="s">
        <v>233</v>
      </c>
      <c r="H3" s="290"/>
      <c r="I3" s="290"/>
      <c r="L3" s="290"/>
      <c r="M3" s="290"/>
      <c r="N3" s="290"/>
    </row>
    <row r="4" spans="1:14" s="289" customFormat="1" ht="16.5" customHeight="1">
      <c r="A4" s="162"/>
      <c r="B4" s="162"/>
      <c r="C4" s="162"/>
      <c r="F4" s="296"/>
      <c r="H4" s="290"/>
      <c r="I4" s="290"/>
      <c r="J4" s="163"/>
      <c r="K4" s="163"/>
      <c r="L4" s="163"/>
      <c r="M4" s="163"/>
      <c r="N4" s="163"/>
    </row>
    <row r="5" spans="1:14" s="18" customFormat="1" ht="23.25" customHeight="1">
      <c r="A5" s="531" t="s">
        <v>249</v>
      </c>
      <c r="B5" s="531"/>
      <c r="C5" s="531"/>
      <c r="D5" s="531"/>
      <c r="E5" s="531"/>
      <c r="F5" s="531"/>
      <c r="G5" s="531"/>
      <c r="H5" s="531"/>
      <c r="I5" s="299"/>
      <c r="J5" s="299"/>
      <c r="K5" s="299"/>
      <c r="L5" s="299"/>
      <c r="M5" s="299"/>
      <c r="N5" s="299"/>
    </row>
    <row r="6" spans="1:14" s="18" customFormat="1">
      <c r="A6" s="564" t="s">
        <v>250</v>
      </c>
      <c r="B6" s="564"/>
      <c r="C6" s="564"/>
      <c r="D6" s="564"/>
      <c r="E6" s="564"/>
      <c r="F6" s="564"/>
      <c r="G6" s="564"/>
      <c r="H6" s="564"/>
    </row>
    <row r="7" spans="1:14" s="18" customFormat="1">
      <c r="D7" s="560" t="s">
        <v>251</v>
      </c>
      <c r="E7" s="560"/>
      <c r="F7" s="560"/>
    </row>
    <row r="8" spans="1:14" s="18" customFormat="1" ht="15" customHeight="1">
      <c r="D8" s="560" t="s">
        <v>252</v>
      </c>
      <c r="E8" s="560"/>
      <c r="F8" s="560"/>
    </row>
    <row r="9" spans="1:14" s="18" customFormat="1">
      <c r="A9" s="164"/>
      <c r="B9" s="164"/>
      <c r="C9" s="164"/>
      <c r="D9" s="18" t="s">
        <v>253</v>
      </c>
      <c r="E9" s="561" t="s">
        <v>166</v>
      </c>
      <c r="F9" s="561"/>
      <c r="G9" s="164" t="str">
        <f>"ngày: "&amp;TEXT(VLOOKUP($E$9,'3411'!B4:J9,2,0),"dd/MM/yy")</f>
        <v>ngày: 19/08/14</v>
      </c>
      <c r="H9" s="302"/>
      <c r="L9" s="164"/>
      <c r="M9" s="164"/>
      <c r="N9" s="164"/>
    </row>
    <row r="10" spans="1:14" s="18" customFormat="1">
      <c r="D10" s="300" t="s">
        <v>257</v>
      </c>
      <c r="E10" s="303"/>
      <c r="F10" s="301"/>
    </row>
    <row r="11" spans="1:14" s="18" customFormat="1">
      <c r="C11" s="300"/>
      <c r="D11" s="300"/>
      <c r="E11" s="300"/>
      <c r="F11" s="300"/>
      <c r="G11" s="300"/>
      <c r="H11" s="300"/>
      <c r="I11" s="300"/>
      <c r="J11" s="300"/>
      <c r="K11" s="300"/>
      <c r="L11" s="300"/>
      <c r="M11" s="300"/>
      <c r="N11" s="300"/>
    </row>
    <row r="12" spans="1:14" s="305" customFormat="1" ht="24.75" customHeight="1">
      <c r="A12" s="565" t="s">
        <v>254</v>
      </c>
      <c r="B12" s="562" t="s">
        <v>1</v>
      </c>
      <c r="C12" s="563"/>
      <c r="D12" s="565" t="s">
        <v>0</v>
      </c>
      <c r="E12" s="565" t="s">
        <v>18</v>
      </c>
      <c r="F12" s="567" t="s">
        <v>255</v>
      </c>
      <c r="G12" s="569" t="s">
        <v>223</v>
      </c>
      <c r="H12" s="569"/>
      <c r="I12" s="304"/>
      <c r="J12" s="304"/>
      <c r="K12" s="304"/>
      <c r="L12" s="304"/>
      <c r="M12" s="304"/>
      <c r="N12" s="304"/>
    </row>
    <row r="13" spans="1:14" s="305" customFormat="1" ht="24.75" customHeight="1">
      <c r="A13" s="566"/>
      <c r="B13" s="306" t="s">
        <v>19</v>
      </c>
      <c r="C13" s="306" t="s">
        <v>42</v>
      </c>
      <c r="D13" s="566"/>
      <c r="E13" s="566"/>
      <c r="F13" s="568"/>
      <c r="G13" s="307" t="s">
        <v>32</v>
      </c>
      <c r="H13" s="307" t="s">
        <v>33</v>
      </c>
      <c r="I13" s="308"/>
      <c r="J13" s="308"/>
      <c r="K13" s="308"/>
      <c r="L13" s="308"/>
      <c r="M13" s="308"/>
      <c r="N13" s="308"/>
    </row>
    <row r="14" spans="1:14" s="314" customFormat="1" ht="12" customHeight="1">
      <c r="A14" s="309" t="s">
        <v>2</v>
      </c>
      <c r="B14" s="310" t="s">
        <v>3</v>
      </c>
      <c r="C14" s="311" t="s">
        <v>4</v>
      </c>
      <c r="D14" s="311" t="s">
        <v>5</v>
      </c>
      <c r="E14" s="311" t="s">
        <v>6</v>
      </c>
      <c r="F14" s="312" t="s">
        <v>207</v>
      </c>
      <c r="G14" s="311">
        <v>2</v>
      </c>
      <c r="H14" s="311">
        <v>3</v>
      </c>
      <c r="I14" s="313"/>
      <c r="J14" s="313"/>
      <c r="K14" s="313"/>
      <c r="L14" s="313"/>
      <c r="M14" s="313"/>
      <c r="N14" s="313"/>
    </row>
    <row r="15" spans="1:14" s="299" customFormat="1" ht="23.25" customHeight="1">
      <c r="A15" s="315"/>
      <c r="B15" s="315"/>
      <c r="C15" s="315"/>
      <c r="D15" s="316" t="s">
        <v>7</v>
      </c>
      <c r="E15" s="317"/>
      <c r="F15" s="318"/>
      <c r="G15" s="341">
        <f>VLOOKUP($E$9,'3411'!B4:J9,4,0)</f>
        <v>0</v>
      </c>
      <c r="H15" s="341">
        <f>VLOOKUP($E$9,'3411'!B4:J9,5,0)</f>
        <v>0</v>
      </c>
      <c r="I15" s="319"/>
      <c r="J15" s="319"/>
      <c r="K15" s="320"/>
      <c r="L15" s="321"/>
      <c r="M15" s="320"/>
      <c r="N15" s="321"/>
    </row>
    <row r="16" spans="1:14" s="18" customFormat="1" ht="23.25" customHeight="1">
      <c r="A16" s="457">
        <f ca="1">IF(ROWS($1:1)&gt;COUNT(Dong4),"",OFFSET(TH!C$1,SMALL(Dong4,ROWS($1:1)),))</f>
        <v>41870</v>
      </c>
      <c r="B16" s="322" t="str">
        <f ca="1">IF(ROWS($1:1)&gt;COUNT(Dong4),"",OFFSET(TH!D$1,SMALL(Dong4,ROWS($1:1)),))</f>
        <v>GBC</v>
      </c>
      <c r="C16" s="457">
        <f ca="1">IF(ROWS($1:1)&gt;COUNT(Dong4),"",OFFSET(TH!E$1,SMALL(Dong4,ROWS($1:1)),))</f>
        <v>41870</v>
      </c>
      <c r="D16" s="342" t="str">
        <f ca="1">IF(ROWS($1:1)&gt;COUNT(Dong4),"",OFFSET(TH!F$1,SMALL(Dong4,ROWS($1:1)),))</f>
        <v>Vay KU 1402LDS201401630</v>
      </c>
      <c r="E16" s="323" t="str">
        <f ca="1">IF(ROWS($1:1)&gt;COUNT(Dong4),"",IF(OFFSET(TH!K$1,SMALL(Dong4,ROWS($1:1)),)="3411",OFFSET(TH!J$1,SMALL(Dong4,ROWS($1:1)),),OFFSET(TH!K$1,SMALL(Dong4,ROWS($1:1)),)))</f>
        <v>1121</v>
      </c>
      <c r="F16" s="324">
        <f ca="1">IF(D16&lt;&gt;"",VLOOKUP($E$9,'3411'!$B$4:$F$9,3,0),"")</f>
        <v>46253</v>
      </c>
      <c r="G16" s="343">
        <f ca="1">IF(ROWS($1:1)&gt;COUNT(Dong4),"",IF(OFFSET(TH!J$1,SMALL(Dong4,ROWS($1:1)),)="3411",OFFSET(TH!I$1,SMALL(Dong4,ROWS($1:1)),),0))</f>
        <v>0</v>
      </c>
      <c r="H16" s="343">
        <f ca="1">IF(ROWS($1:1)&gt;COUNT(Dong4),"",IF(OFFSET(TH!K$1,SMALL(Dong4,ROWS($1:1)),)="3411",OFFSET(TH!I$1,SMALL(Dong4,ROWS($1:1)),),0))</f>
        <v>1000000000</v>
      </c>
      <c r="I16" s="325"/>
      <c r="J16" s="326"/>
      <c r="K16" s="325"/>
      <c r="L16" s="326"/>
      <c r="M16" s="325"/>
      <c r="N16" s="326"/>
    </row>
    <row r="17" spans="1:14" s="18" customFormat="1" ht="23.25" customHeight="1">
      <c r="A17" s="457" t="str">
        <f ca="1">IF(ROWS($1:2)&gt;COUNT(Dong4),"",OFFSET(TH!C$1,SMALL(Dong4,ROWS($1:2)),))</f>
        <v/>
      </c>
      <c r="B17" s="322" t="str">
        <f ca="1">IF(ROWS($1:2)&gt;COUNT(Dong4),"",OFFSET(TH!D$1,SMALL(Dong4,ROWS($1:2)),))</f>
        <v/>
      </c>
      <c r="C17" s="457" t="str">
        <f ca="1">IF(ROWS($1:2)&gt;COUNT(Dong4),"",OFFSET(TH!E$1,SMALL(Dong4,ROWS($1:2)),))</f>
        <v/>
      </c>
      <c r="D17" s="342" t="str">
        <f ca="1">IF(ROWS($1:2)&gt;COUNT(Dong4),"",OFFSET(TH!F$1,SMALL(Dong4,ROWS($1:2)),))</f>
        <v/>
      </c>
      <c r="E17" s="323" t="str">
        <f ca="1">IF(ROWS($1:2)&gt;COUNT(Dong4),"",IF(OFFSET(TH!K$1,SMALL(Dong4,ROWS($1:2)),)="3411",OFFSET(TH!J$1,SMALL(Dong4,ROWS($1:2)),),OFFSET(TH!K$1,SMALL(Dong4,ROWS($1:2)),)))</f>
        <v/>
      </c>
      <c r="F17" s="324" t="str">
        <f ca="1">IF(D17&lt;&gt;"",VLOOKUP($E$9,'3411'!$B$4:$F$9,3,0),"")</f>
        <v/>
      </c>
      <c r="G17" s="343" t="str">
        <f ca="1">IF(ROWS($1:2)&gt;COUNT(Dong4),"",IF(OFFSET(TH!J$1,SMALL(Dong4,ROWS($1:2)),)="3411",OFFSET(TH!I$1,SMALL(Dong4,ROWS($1:2)),),0))</f>
        <v/>
      </c>
      <c r="H17" s="343" t="str">
        <f ca="1">IF(ROWS($1:2)&gt;COUNT(Dong4),"",IF(OFFSET(TH!K$1,SMALL(Dong4,ROWS($1:2)),)="3411",OFFSET(TH!I$1,SMALL(Dong4,ROWS($1:2)),),0))</f>
        <v/>
      </c>
      <c r="I17" s="325"/>
      <c r="J17" s="326"/>
      <c r="K17" s="325"/>
      <c r="L17" s="326"/>
      <c r="M17" s="325"/>
      <c r="N17" s="326"/>
    </row>
    <row r="18" spans="1:14" s="18" customFormat="1" ht="23.25" customHeight="1">
      <c r="A18" s="458"/>
      <c r="B18" s="458"/>
      <c r="C18" s="458"/>
      <c r="D18" s="327"/>
      <c r="E18" s="328"/>
      <c r="F18" s="329"/>
      <c r="G18" s="327"/>
      <c r="H18" s="327"/>
      <c r="I18" s="300"/>
      <c r="J18" s="300"/>
      <c r="K18" s="325"/>
      <c r="L18" s="326"/>
      <c r="M18" s="330"/>
      <c r="N18" s="326"/>
    </row>
    <row r="19" spans="1:14" s="299" customFormat="1" ht="23.25" customHeight="1">
      <c r="A19" s="459"/>
      <c r="B19" s="459"/>
      <c r="C19" s="459"/>
      <c r="D19" s="331" t="s">
        <v>46</v>
      </c>
      <c r="E19" s="455" t="s">
        <v>25</v>
      </c>
      <c r="F19" s="332" t="s">
        <v>25</v>
      </c>
      <c r="G19" s="333">
        <f ca="1">SUM(G16:G18)</f>
        <v>0</v>
      </c>
      <c r="H19" s="334">
        <f ca="1">SUM(H16:H18)</f>
        <v>1000000000</v>
      </c>
      <c r="I19" s="335"/>
      <c r="J19" s="336"/>
      <c r="K19" s="336"/>
      <c r="L19" s="319"/>
      <c r="M19" s="336"/>
      <c r="N19" s="336"/>
    </row>
    <row r="20" spans="1:14" s="299" customFormat="1" ht="23.25" customHeight="1">
      <c r="A20" s="460"/>
      <c r="B20" s="460"/>
      <c r="C20" s="460"/>
      <c r="D20" s="331" t="s">
        <v>12</v>
      </c>
      <c r="E20" s="455" t="s">
        <v>25</v>
      </c>
      <c r="F20" s="332" t="s">
        <v>25</v>
      </c>
      <c r="G20" s="337">
        <f ca="1">IF(G15+G19-H19&gt;0,G15+G19-H19,0)</f>
        <v>0</v>
      </c>
      <c r="H20" s="334">
        <f ca="1">IF(H15+H19-G19&gt;0,H15+H19-G19,0)</f>
        <v>1000000000</v>
      </c>
      <c r="I20" s="304"/>
      <c r="J20" s="304"/>
      <c r="K20" s="338"/>
      <c r="L20" s="336"/>
      <c r="M20" s="335"/>
      <c r="N20" s="336"/>
    </row>
    <row r="21" spans="1:14" s="18" customFormat="1">
      <c r="E21" s="164"/>
      <c r="F21" s="302"/>
    </row>
    <row r="22" spans="1:14" s="18" customFormat="1">
      <c r="A22" s="339" t="s">
        <v>256</v>
      </c>
      <c r="C22" s="292"/>
      <c r="E22" s="164"/>
      <c r="F22" s="302"/>
    </row>
    <row r="23" spans="1:14" s="18" customFormat="1">
      <c r="A23" s="339" t="str">
        <f ca="1">"- Ngày mở sổ: "&amp;DAY(A16)&amp;"/"&amp;MONTH(A16)&amp;"/"&amp;YEAR(A16)</f>
        <v>- Ngày mở sổ: 19/8/2014</v>
      </c>
      <c r="C23" s="292"/>
      <c r="E23" s="164"/>
      <c r="F23" s="302"/>
    </row>
    <row r="24" spans="1:14" s="18" customFormat="1">
      <c r="E24" s="164"/>
      <c r="F24" s="302"/>
      <c r="G24" s="340" t="str">
        <f ca="1">"Ngày 31 tháng 12 năm "&amp;YEAR(A16)</f>
        <v>Ngày 31 tháng 12 năm 2014</v>
      </c>
    </row>
    <row r="25" spans="1:14" s="18" customFormat="1">
      <c r="C25" s="164" t="s">
        <v>13</v>
      </c>
      <c r="E25" s="164"/>
      <c r="F25" s="302"/>
      <c r="G25" s="164" t="s">
        <v>14</v>
      </c>
    </row>
    <row r="26" spans="1:14" s="18" customFormat="1">
      <c r="C26" s="164" t="s">
        <v>15</v>
      </c>
      <c r="E26" s="164"/>
      <c r="F26" s="302"/>
      <c r="G26" s="164" t="s">
        <v>15</v>
      </c>
    </row>
    <row r="27" spans="1:14" s="293" customFormat="1"/>
    <row r="28" spans="1:14" s="293" customFormat="1"/>
    <row r="29" spans="1:14" s="293" customFormat="1"/>
    <row r="30" spans="1:14" s="293" customFormat="1"/>
    <row r="31" spans="1:14" s="293" customFormat="1"/>
    <row r="32" spans="1:14" s="293" customFormat="1"/>
    <row r="33" s="293" customFormat="1"/>
  </sheetData>
  <mergeCells count="11">
    <mergeCell ref="D7:F7"/>
    <mergeCell ref="D8:F8"/>
    <mergeCell ref="E9:F9"/>
    <mergeCell ref="B12:C12"/>
    <mergeCell ref="A5:H5"/>
    <mergeCell ref="A6:H6"/>
    <mergeCell ref="A12:A13"/>
    <mergeCell ref="D12:D13"/>
    <mergeCell ref="E12:E13"/>
    <mergeCell ref="F12:F13"/>
    <mergeCell ref="G12:H12"/>
  </mergeCells>
  <dataValidations count="2">
    <dataValidation type="list" allowBlank="1" showInputMessage="1" showErrorMessage="1" sqref="H9:I9">
      <formula1>DSKU</formula1>
    </dataValidation>
    <dataValidation type="list" allowBlank="1" showInputMessage="1" showErrorMessage="1" sqref="E9:F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25</vt:i4>
      </vt:variant>
    </vt:vector>
  </HeadingPairs>
  <TitlesOfParts>
    <vt:vector size="40" baseType="lpstr">
      <vt:lpstr>CDPS</vt:lpstr>
      <vt:lpstr>TH</vt:lpstr>
      <vt:lpstr>01-03</vt:lpstr>
      <vt:lpstr>04-06</vt:lpstr>
      <vt:lpstr>07-09</vt:lpstr>
      <vt:lpstr>10-12</vt:lpstr>
      <vt:lpstr>CTTK</vt:lpstr>
      <vt:lpstr>331</vt:lpstr>
      <vt:lpstr>331-CT</vt:lpstr>
      <vt:lpstr>IN - TC</vt:lpstr>
      <vt:lpstr>1111</vt:lpstr>
      <vt:lpstr>1121</vt:lpstr>
      <vt:lpstr>1331</vt:lpstr>
      <vt:lpstr>3411</vt:lpstr>
      <vt:lpstr>3411-CT</vt:lpstr>
      <vt:lpstr>_C111</vt:lpstr>
      <vt:lpstr>_C112</vt:lpstr>
      <vt:lpstr>_C133</vt:lpstr>
      <vt:lpstr>_N111</vt:lpstr>
      <vt:lpstr>_N112</vt:lpstr>
      <vt:lpstr>_N133</vt:lpstr>
      <vt:lpstr>DSKH</vt:lpstr>
      <vt:lpstr>DSKU</vt:lpstr>
      <vt:lpstr>DSTK</vt:lpstr>
      <vt:lpstr>hgdgdgf</vt:lpstr>
      <vt:lpstr>KH</vt:lpstr>
      <vt:lpstr>KHC</vt:lpstr>
      <vt:lpstr>KHN</vt:lpstr>
      <vt:lpstr>'10-12'!Print_Area</vt:lpstr>
      <vt:lpstr>'1111'!Print_Area</vt:lpstr>
      <vt:lpstr>'1121'!Print_Area</vt:lpstr>
      <vt:lpstr>'3411'!Print_Area</vt:lpstr>
      <vt:lpstr>'IN - TC'!Print_Area</vt:lpstr>
      <vt:lpstr>'01-03'!Print_Titles</vt:lpstr>
      <vt:lpstr>'04-06'!Print_Titles</vt:lpstr>
      <vt:lpstr>'07-09'!Print_Titles</vt:lpstr>
      <vt:lpstr>'10-12'!Print_Titles</vt:lpstr>
      <vt:lpstr>'1111'!Print_Titles</vt:lpstr>
      <vt:lpstr>TH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2015-12-12T09:20:34Z</cp:lastPrinted>
  <dcterms:created xsi:type="dcterms:W3CDTF">1996-10-14T23:33:28Z</dcterms:created>
  <dcterms:modified xsi:type="dcterms:W3CDTF">2015-12-14T07:33:00Z</dcterms:modified>
</cp:coreProperties>
</file>