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735" windowWidth="14820" windowHeight="8085" tabRatio="878" activeTab="3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TH!$A$9:$Q$1829</definedName>
    <definedName name="_xlnm._FilterDatabase" localSheetId="3" hidden="1">'TH - TT'!$A$4:$M$196</definedName>
    <definedName name="Dong">IF([0]!Loai="x",ROW([0]!Loai)-1,"")</definedName>
    <definedName name="DSKH">'331'!$B$4:$B$40</definedName>
    <definedName name="DSTK">CDPS!$A$10:$D$45</definedName>
    <definedName name="DSTT" localSheetId="6">'HOANG KIM'!$K$5:$K$18</definedName>
    <definedName name="DSTT">'TH - TT'!$K$7:$K$268</definedName>
    <definedName name="DSTT1" localSheetId="6">'HOANG KIM'!$I$5:$I$18</definedName>
    <definedName name="DSTT1">'TH - TT'!$I$7:$I$269</definedName>
    <definedName name="KH">TH!$H$11:$H$1951</definedName>
    <definedName name="KHC">TH!$O$11:$O$1951</definedName>
    <definedName name="KHN">TH!$N$11:$N$1951</definedName>
    <definedName name="Loai">OFFSET(TH!$P$5,,,COUNTA(TH!$P$5:$P$40261))</definedName>
    <definedName name="_xlnm.Print_Area" localSheetId="3">'TH - TT'!$A$213:$K$225</definedName>
    <definedName name="_xlnm.Print_Titles" localSheetId="6">'HOANG KIM'!$3:$4</definedName>
    <definedName name="_xlnm.Print_Titles" localSheetId="7">'KHANH TRÂN'!$2:$3</definedName>
    <definedName name="_xlnm.Print_Titles" localSheetId="1">TH!$7:$9</definedName>
    <definedName name="_xlnm.Print_Titles" localSheetId="3">'TH - TT'!$3:$4</definedName>
    <definedName name="_xlnm.Print_Titles" localSheetId="2">'tra vinh'!$2:$4</definedName>
    <definedName name="TH">TH!$M$11:$M$1951</definedName>
    <definedName name="THN">TH!$A$11:$A$2002</definedName>
    <definedName name="TM">TH!$A$11:$O$1951</definedName>
  </definedNames>
  <calcPr calcId="144525"/>
</workbook>
</file>

<file path=xl/calcChain.xml><?xml version="1.0" encoding="utf-8"?>
<calcChain xmlns="http://schemas.openxmlformats.org/spreadsheetml/2006/main">
  <c r="I138" i="35" l="1"/>
  <c r="H138" i="35"/>
  <c r="E118" i="35" l="1"/>
  <c r="G132" i="35"/>
  <c r="G133" i="35" l="1"/>
  <c r="G137" i="35"/>
  <c r="G193" i="35"/>
  <c r="G209" i="35" l="1"/>
  <c r="G210" i="35"/>
  <c r="H238" i="35" l="1"/>
  <c r="G183" i="35" l="1"/>
  <c r="G184" i="35"/>
  <c r="G188" i="35"/>
  <c r="F23" i="40" l="1"/>
  <c r="A1826" i="34" l="1"/>
  <c r="B1826" i="34"/>
  <c r="P1826" i="34"/>
  <c r="A1827" i="34"/>
  <c r="B1827" i="34"/>
  <c r="P1827" i="34"/>
  <c r="A1828" i="34"/>
  <c r="B1828" i="34"/>
  <c r="P1828" i="34"/>
  <c r="A1829" i="34"/>
  <c r="B1829" i="34"/>
  <c r="P1829" i="34"/>
  <c r="A1162" i="34"/>
  <c r="D46" i="15" l="1"/>
  <c r="C46" i="15"/>
  <c r="G196" i="35" l="1"/>
  <c r="P1160" i="34" l="1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G181" i="35" l="1"/>
  <c r="G182" i="35"/>
  <c r="I197" i="35" l="1"/>
  <c r="E32" i="40" l="1"/>
  <c r="G129" i="35"/>
  <c r="G130" i="35"/>
  <c r="G131" i="35"/>
  <c r="H86" i="35"/>
  <c r="E86" i="35" s="1"/>
  <c r="G89" i="35"/>
  <c r="I92" i="35"/>
  <c r="E94" i="35"/>
  <c r="G96" i="35"/>
  <c r="A1589" i="34"/>
  <c r="B1589" i="34"/>
  <c r="P1589" i="34"/>
  <c r="A1590" i="34"/>
  <c r="B1590" i="34"/>
  <c r="P1590" i="34"/>
  <c r="A1591" i="34"/>
  <c r="B1591" i="34"/>
  <c r="P1591" i="34"/>
  <c r="A1592" i="34"/>
  <c r="B1592" i="34"/>
  <c r="P1592" i="34"/>
  <c r="A1593" i="34"/>
  <c r="B1593" i="34"/>
  <c r="P1593" i="34"/>
  <c r="A1594" i="34"/>
  <c r="B1594" i="34"/>
  <c r="P1594" i="34"/>
  <c r="A1595" i="34"/>
  <c r="B1595" i="34"/>
  <c r="P1595" i="34"/>
  <c r="A1596" i="34"/>
  <c r="B1596" i="34"/>
  <c r="P1596" i="34"/>
  <c r="A1597" i="34"/>
  <c r="B1597" i="34"/>
  <c r="P1597" i="34"/>
  <c r="A1598" i="34"/>
  <c r="B1598" i="34"/>
  <c r="P1598" i="34"/>
  <c r="A1599" i="34"/>
  <c r="B1599" i="34"/>
  <c r="P1599" i="34"/>
  <c r="A1600" i="34"/>
  <c r="B1600" i="34"/>
  <c r="P1600" i="34"/>
  <c r="A1601" i="34"/>
  <c r="B1601" i="34"/>
  <c r="P1601" i="34"/>
  <c r="A1602" i="34"/>
  <c r="B1602" i="34"/>
  <c r="P1602" i="34"/>
  <c r="A1603" i="34"/>
  <c r="B1603" i="34"/>
  <c r="P1603" i="34"/>
  <c r="A1604" i="34"/>
  <c r="B1604" i="34"/>
  <c r="P1604" i="34"/>
  <c r="A1605" i="34"/>
  <c r="B1605" i="34"/>
  <c r="P1605" i="34"/>
  <c r="A1606" i="34"/>
  <c r="B1606" i="34"/>
  <c r="P1606" i="34"/>
  <c r="A1607" i="34"/>
  <c r="B1607" i="34"/>
  <c r="P1607" i="34"/>
  <c r="A1608" i="34"/>
  <c r="B1608" i="34"/>
  <c r="P1608" i="34"/>
  <c r="A1609" i="34"/>
  <c r="B1609" i="34"/>
  <c r="P1609" i="34"/>
  <c r="A1610" i="34"/>
  <c r="B1610" i="34"/>
  <c r="P1610" i="34"/>
  <c r="A1611" i="34"/>
  <c r="B1611" i="34"/>
  <c r="P1611" i="34"/>
  <c r="A1612" i="34"/>
  <c r="B1612" i="34"/>
  <c r="P1612" i="34"/>
  <c r="A1613" i="34"/>
  <c r="B1613" i="34"/>
  <c r="P1613" i="34"/>
  <c r="A1614" i="34"/>
  <c r="B1614" i="34"/>
  <c r="P1614" i="34"/>
  <c r="A1615" i="34"/>
  <c r="B1615" i="34"/>
  <c r="P1615" i="34"/>
  <c r="A1616" i="34"/>
  <c r="B1616" i="34"/>
  <c r="P1616" i="34"/>
  <c r="A1617" i="34"/>
  <c r="B1617" i="34"/>
  <c r="P1617" i="34"/>
  <c r="A1618" i="34"/>
  <c r="B1618" i="34"/>
  <c r="P1618" i="34"/>
  <c r="A1619" i="34"/>
  <c r="B1619" i="34"/>
  <c r="P1619" i="34"/>
  <c r="A1620" i="34"/>
  <c r="B1620" i="34"/>
  <c r="P1620" i="34"/>
  <c r="A1621" i="34"/>
  <c r="B1621" i="34"/>
  <c r="P1621" i="34"/>
  <c r="A1622" i="34"/>
  <c r="B1622" i="34"/>
  <c r="P1622" i="34"/>
  <c r="A1623" i="34"/>
  <c r="B1623" i="34"/>
  <c r="P1623" i="34"/>
  <c r="A1624" i="34"/>
  <c r="B1624" i="34"/>
  <c r="P1624" i="34"/>
  <c r="A1625" i="34"/>
  <c r="B1625" i="34"/>
  <c r="P1625" i="34"/>
  <c r="A1626" i="34"/>
  <c r="B1626" i="34"/>
  <c r="P1626" i="34"/>
  <c r="A1627" i="34"/>
  <c r="B1627" i="34"/>
  <c r="P1627" i="34"/>
  <c r="A1628" i="34"/>
  <c r="B1628" i="34"/>
  <c r="P1628" i="34"/>
  <c r="A1629" i="34"/>
  <c r="B1629" i="34"/>
  <c r="P1629" i="34"/>
  <c r="A1630" i="34"/>
  <c r="B1630" i="34"/>
  <c r="P1630" i="34"/>
  <c r="A1631" i="34"/>
  <c r="B1631" i="34"/>
  <c r="P1631" i="34"/>
  <c r="A1632" i="34"/>
  <c r="B1632" i="34"/>
  <c r="P1632" i="34"/>
  <c r="A1633" i="34"/>
  <c r="B1633" i="34"/>
  <c r="P1633" i="34"/>
  <c r="A1634" i="34"/>
  <c r="B1634" i="34"/>
  <c r="P1634" i="34"/>
  <c r="A1635" i="34"/>
  <c r="B1635" i="34"/>
  <c r="P1635" i="34"/>
  <c r="A1636" i="34"/>
  <c r="B1636" i="34"/>
  <c r="P1636" i="34"/>
  <c r="A1637" i="34"/>
  <c r="B1637" i="34"/>
  <c r="P1637" i="34"/>
  <c r="A1638" i="34"/>
  <c r="B1638" i="34"/>
  <c r="P1638" i="34"/>
  <c r="A1639" i="34"/>
  <c r="B1639" i="34"/>
  <c r="P1639" i="34"/>
  <c r="A1640" i="34"/>
  <c r="B1640" i="34"/>
  <c r="P1640" i="34"/>
  <c r="A1641" i="34"/>
  <c r="B1641" i="34"/>
  <c r="P1641" i="34"/>
  <c r="A1642" i="34"/>
  <c r="B1642" i="34"/>
  <c r="P1642" i="34"/>
  <c r="A1643" i="34"/>
  <c r="B1643" i="34"/>
  <c r="P1643" i="34"/>
  <c r="A1644" i="34"/>
  <c r="B1644" i="34"/>
  <c r="P1644" i="34"/>
  <c r="A1645" i="34"/>
  <c r="B1645" i="34"/>
  <c r="P1645" i="34"/>
  <c r="A1646" i="34"/>
  <c r="B1646" i="34"/>
  <c r="P1646" i="34"/>
  <c r="A1647" i="34"/>
  <c r="B1647" i="34"/>
  <c r="P1647" i="34"/>
  <c r="A1648" i="34"/>
  <c r="B1648" i="34"/>
  <c r="P1648" i="34"/>
  <c r="A1649" i="34"/>
  <c r="B1649" i="34"/>
  <c r="P1649" i="34"/>
  <c r="A1650" i="34"/>
  <c r="B1650" i="34"/>
  <c r="P1650" i="34"/>
  <c r="A1651" i="34"/>
  <c r="B1651" i="34"/>
  <c r="P1651" i="34"/>
  <c r="A1652" i="34"/>
  <c r="B1652" i="34"/>
  <c r="P1652" i="34"/>
  <c r="A1653" i="34"/>
  <c r="B1653" i="34"/>
  <c r="P1653" i="34"/>
  <c r="A1654" i="34"/>
  <c r="B1654" i="34"/>
  <c r="P1654" i="34"/>
  <c r="A1655" i="34"/>
  <c r="B1655" i="34"/>
  <c r="P1655" i="34"/>
  <c r="A1656" i="34"/>
  <c r="B1656" i="34"/>
  <c r="P1656" i="34"/>
  <c r="A1657" i="34"/>
  <c r="B1657" i="34"/>
  <c r="P1657" i="34"/>
  <c r="A1658" i="34"/>
  <c r="B1658" i="34"/>
  <c r="P1658" i="34"/>
  <c r="A1659" i="34"/>
  <c r="B1659" i="34"/>
  <c r="P1659" i="34"/>
  <c r="A1660" i="34"/>
  <c r="B1660" i="34"/>
  <c r="P1660" i="34"/>
  <c r="A1661" i="34"/>
  <c r="B1661" i="34"/>
  <c r="P1661" i="34"/>
  <c r="A1662" i="34"/>
  <c r="B1662" i="34"/>
  <c r="P1662" i="34"/>
  <c r="A1663" i="34"/>
  <c r="B1663" i="34"/>
  <c r="P1663" i="34"/>
  <c r="A1664" i="34"/>
  <c r="B1664" i="34"/>
  <c r="P1664" i="34"/>
  <c r="A1665" i="34"/>
  <c r="B1665" i="34"/>
  <c r="P1665" i="34"/>
  <c r="A1666" i="34"/>
  <c r="B1666" i="34"/>
  <c r="P1666" i="34"/>
  <c r="A1667" i="34"/>
  <c r="B1667" i="34"/>
  <c r="P1667" i="34"/>
  <c r="A1668" i="34"/>
  <c r="B1668" i="34"/>
  <c r="P1668" i="34"/>
  <c r="A1669" i="34"/>
  <c r="B1669" i="34"/>
  <c r="P1669" i="34"/>
  <c r="A1670" i="34"/>
  <c r="B1670" i="34"/>
  <c r="P1670" i="34"/>
  <c r="A1671" i="34"/>
  <c r="B1671" i="34"/>
  <c r="P1671" i="34"/>
  <c r="A1672" i="34"/>
  <c r="B1672" i="34"/>
  <c r="P1672" i="34"/>
  <c r="A1673" i="34"/>
  <c r="B1673" i="34"/>
  <c r="P1673" i="34"/>
  <c r="A1674" i="34"/>
  <c r="B1674" i="34"/>
  <c r="P1674" i="34"/>
  <c r="A1675" i="34"/>
  <c r="B1675" i="34"/>
  <c r="P1675" i="34"/>
  <c r="A1676" i="34"/>
  <c r="B1676" i="34"/>
  <c r="P1676" i="34"/>
  <c r="A1677" i="34"/>
  <c r="B1677" i="34"/>
  <c r="P1677" i="34"/>
  <c r="A1678" i="34"/>
  <c r="B1678" i="34"/>
  <c r="P1678" i="34"/>
  <c r="A1679" i="34"/>
  <c r="B1679" i="34"/>
  <c r="P1679" i="34"/>
  <c r="A1680" i="34"/>
  <c r="B1680" i="34"/>
  <c r="P1680" i="34"/>
  <c r="A1681" i="34"/>
  <c r="B1681" i="34"/>
  <c r="P1681" i="34"/>
  <c r="A1682" i="34"/>
  <c r="B1682" i="34"/>
  <c r="P1682" i="34"/>
  <c r="A1683" i="34"/>
  <c r="B1683" i="34"/>
  <c r="P1683" i="34"/>
  <c r="A1684" i="34"/>
  <c r="B1684" i="34"/>
  <c r="P1684" i="34"/>
  <c r="A1685" i="34"/>
  <c r="B1685" i="34"/>
  <c r="P1685" i="34"/>
  <c r="A1686" i="34"/>
  <c r="B1686" i="34"/>
  <c r="P1686" i="34"/>
  <c r="A1687" i="34"/>
  <c r="B1687" i="34"/>
  <c r="P1687" i="34"/>
  <c r="A1688" i="34"/>
  <c r="B1688" i="34"/>
  <c r="P1688" i="34"/>
  <c r="A1689" i="34"/>
  <c r="B1689" i="34"/>
  <c r="P1689" i="34"/>
  <c r="A1690" i="34"/>
  <c r="B1690" i="34"/>
  <c r="P1690" i="34"/>
  <c r="A1691" i="34"/>
  <c r="B1691" i="34"/>
  <c r="P1691" i="34"/>
  <c r="A1692" i="34"/>
  <c r="B1692" i="34"/>
  <c r="P1692" i="34"/>
  <c r="A1693" i="34"/>
  <c r="B1693" i="34"/>
  <c r="P1693" i="34"/>
  <c r="A1694" i="34"/>
  <c r="B1694" i="34"/>
  <c r="P1694" i="34"/>
  <c r="A1695" i="34"/>
  <c r="B1695" i="34"/>
  <c r="P1695" i="34"/>
  <c r="A1696" i="34"/>
  <c r="B1696" i="34"/>
  <c r="P1696" i="34"/>
  <c r="A1697" i="34"/>
  <c r="B1697" i="34"/>
  <c r="P1697" i="34"/>
  <c r="A1698" i="34"/>
  <c r="B1698" i="34"/>
  <c r="P1698" i="34"/>
  <c r="A1699" i="34"/>
  <c r="B1699" i="34"/>
  <c r="P1699" i="34"/>
  <c r="A1700" i="34"/>
  <c r="B1700" i="34"/>
  <c r="P1700" i="34"/>
  <c r="A1701" i="34"/>
  <c r="B1701" i="34"/>
  <c r="P1701" i="34"/>
  <c r="A1702" i="34"/>
  <c r="B1702" i="34"/>
  <c r="P1702" i="34"/>
  <c r="A1703" i="34"/>
  <c r="B1703" i="34"/>
  <c r="P1703" i="34"/>
  <c r="A1704" i="34"/>
  <c r="B1704" i="34"/>
  <c r="P1704" i="34"/>
  <c r="A1705" i="34"/>
  <c r="B1705" i="34"/>
  <c r="P1705" i="34"/>
  <c r="A1706" i="34"/>
  <c r="B1706" i="34"/>
  <c r="P1706" i="34"/>
  <c r="A1707" i="34"/>
  <c r="B1707" i="34"/>
  <c r="P1707" i="34"/>
  <c r="A1708" i="34"/>
  <c r="B1708" i="34"/>
  <c r="P1708" i="34"/>
  <c r="A1709" i="34"/>
  <c r="B1709" i="34"/>
  <c r="P1709" i="34"/>
  <c r="A1710" i="34"/>
  <c r="B1710" i="34"/>
  <c r="P1710" i="34"/>
  <c r="A1711" i="34"/>
  <c r="B1711" i="34"/>
  <c r="P1711" i="34"/>
  <c r="A1712" i="34"/>
  <c r="B1712" i="34"/>
  <c r="P1712" i="34"/>
  <c r="A1713" i="34"/>
  <c r="B1713" i="34"/>
  <c r="P1713" i="34"/>
  <c r="A1714" i="34"/>
  <c r="B1714" i="34"/>
  <c r="P1714" i="34"/>
  <c r="A1715" i="34"/>
  <c r="B1715" i="34"/>
  <c r="P1715" i="34"/>
  <c r="A1716" i="34"/>
  <c r="B1716" i="34"/>
  <c r="P1716" i="34"/>
  <c r="A1717" i="34"/>
  <c r="B1717" i="34"/>
  <c r="P1717" i="34"/>
  <c r="A1718" i="34"/>
  <c r="B1718" i="34"/>
  <c r="P1718" i="34"/>
  <c r="A1719" i="34"/>
  <c r="B1719" i="34"/>
  <c r="P1719" i="34"/>
  <c r="A1720" i="34"/>
  <c r="B1720" i="34"/>
  <c r="P1720" i="34"/>
  <c r="A1721" i="34"/>
  <c r="B1721" i="34"/>
  <c r="P1721" i="34"/>
  <c r="A1722" i="34"/>
  <c r="B1722" i="34"/>
  <c r="P1722" i="34"/>
  <c r="A1723" i="34"/>
  <c r="B1723" i="34"/>
  <c r="P1723" i="34"/>
  <c r="A1724" i="34"/>
  <c r="B1724" i="34"/>
  <c r="P1724" i="34"/>
  <c r="A1725" i="34"/>
  <c r="B1725" i="34"/>
  <c r="P1725" i="34"/>
  <c r="A1726" i="34"/>
  <c r="B1726" i="34"/>
  <c r="P1726" i="34"/>
  <c r="A1727" i="34"/>
  <c r="B1727" i="34"/>
  <c r="P1727" i="34"/>
  <c r="A1728" i="34"/>
  <c r="B1728" i="34"/>
  <c r="P1728" i="34"/>
  <c r="A1729" i="34"/>
  <c r="B1729" i="34"/>
  <c r="P1729" i="34"/>
  <c r="A1730" i="34"/>
  <c r="B1730" i="34"/>
  <c r="P1730" i="34"/>
  <c r="A1731" i="34"/>
  <c r="B1731" i="34"/>
  <c r="P1731" i="34"/>
  <c r="A1732" i="34"/>
  <c r="B1732" i="34"/>
  <c r="P1732" i="34"/>
  <c r="A1733" i="34"/>
  <c r="B1733" i="34"/>
  <c r="P1733" i="34"/>
  <c r="A1734" i="34"/>
  <c r="B1734" i="34"/>
  <c r="P1734" i="34"/>
  <c r="A1735" i="34"/>
  <c r="B1735" i="34"/>
  <c r="P1735" i="34"/>
  <c r="A1736" i="34"/>
  <c r="B1736" i="34"/>
  <c r="P1736" i="34"/>
  <c r="A1737" i="34"/>
  <c r="B1737" i="34"/>
  <c r="P1737" i="34"/>
  <c r="A1738" i="34"/>
  <c r="B1738" i="34"/>
  <c r="P1738" i="34"/>
  <c r="A1739" i="34"/>
  <c r="B1739" i="34"/>
  <c r="P1739" i="34"/>
  <c r="A1740" i="34"/>
  <c r="B1740" i="34"/>
  <c r="P1740" i="34"/>
  <c r="A1741" i="34"/>
  <c r="B1741" i="34"/>
  <c r="P1741" i="34"/>
  <c r="A1742" i="34"/>
  <c r="B1742" i="34"/>
  <c r="P1742" i="34"/>
  <c r="A1743" i="34"/>
  <c r="B1743" i="34"/>
  <c r="P1743" i="34"/>
  <c r="A1744" i="34"/>
  <c r="B1744" i="34"/>
  <c r="P1744" i="34"/>
  <c r="A1745" i="34"/>
  <c r="B1745" i="34"/>
  <c r="P1745" i="34"/>
  <c r="A1746" i="34"/>
  <c r="B1746" i="34"/>
  <c r="P1746" i="34"/>
  <c r="A1747" i="34"/>
  <c r="B1747" i="34"/>
  <c r="P1747" i="34"/>
  <c r="A1748" i="34"/>
  <c r="B1748" i="34"/>
  <c r="P1748" i="34"/>
  <c r="A1749" i="34"/>
  <c r="B1749" i="34"/>
  <c r="P1749" i="34"/>
  <c r="A1750" i="34"/>
  <c r="B1750" i="34"/>
  <c r="P1750" i="34"/>
  <c r="A1751" i="34"/>
  <c r="B1751" i="34"/>
  <c r="P1751" i="34"/>
  <c r="A1752" i="34"/>
  <c r="B1752" i="34"/>
  <c r="P1752" i="34"/>
  <c r="A1753" i="34"/>
  <c r="B1753" i="34"/>
  <c r="P1753" i="34"/>
  <c r="A1754" i="34"/>
  <c r="B1754" i="34"/>
  <c r="P1754" i="34"/>
  <c r="A1755" i="34"/>
  <c r="B1755" i="34"/>
  <c r="P1755" i="34"/>
  <c r="A1756" i="34"/>
  <c r="B1756" i="34"/>
  <c r="P1756" i="34"/>
  <c r="A1757" i="34"/>
  <c r="B1757" i="34"/>
  <c r="P1757" i="34"/>
  <c r="A1758" i="34"/>
  <c r="B1758" i="34"/>
  <c r="P1758" i="34"/>
  <c r="A1759" i="34"/>
  <c r="B1759" i="34"/>
  <c r="P1759" i="34"/>
  <c r="A1760" i="34"/>
  <c r="B1760" i="34"/>
  <c r="P1760" i="34"/>
  <c r="A1761" i="34"/>
  <c r="B1761" i="34"/>
  <c r="P1761" i="34"/>
  <c r="A1762" i="34"/>
  <c r="B1762" i="34"/>
  <c r="P1762" i="34"/>
  <c r="A1763" i="34"/>
  <c r="B1763" i="34"/>
  <c r="P1763" i="34"/>
  <c r="A1764" i="34"/>
  <c r="B1764" i="34"/>
  <c r="P1764" i="34"/>
  <c r="A1765" i="34"/>
  <c r="B1765" i="34"/>
  <c r="P1765" i="34"/>
  <c r="A1766" i="34"/>
  <c r="B1766" i="34"/>
  <c r="P1766" i="34"/>
  <c r="A1767" i="34"/>
  <c r="B1767" i="34"/>
  <c r="P1767" i="34"/>
  <c r="A1768" i="34"/>
  <c r="B1768" i="34"/>
  <c r="P1768" i="34"/>
  <c r="A1769" i="34"/>
  <c r="B1769" i="34"/>
  <c r="P1769" i="34"/>
  <c r="A1770" i="34"/>
  <c r="B1770" i="34"/>
  <c r="P1770" i="34"/>
  <c r="A1771" i="34"/>
  <c r="B1771" i="34"/>
  <c r="P1771" i="34"/>
  <c r="A1772" i="34"/>
  <c r="B1772" i="34"/>
  <c r="P1772" i="34"/>
  <c r="A1773" i="34"/>
  <c r="B1773" i="34"/>
  <c r="P1773" i="34"/>
  <c r="A1774" i="34"/>
  <c r="B1774" i="34"/>
  <c r="P1774" i="34"/>
  <c r="A1775" i="34"/>
  <c r="B1775" i="34"/>
  <c r="P1775" i="34"/>
  <c r="A1776" i="34"/>
  <c r="B1776" i="34"/>
  <c r="P1776" i="34"/>
  <c r="A1777" i="34"/>
  <c r="B1777" i="34"/>
  <c r="P1777" i="34"/>
  <c r="A1778" i="34"/>
  <c r="B1778" i="34"/>
  <c r="P1778" i="34"/>
  <c r="A1779" i="34"/>
  <c r="B1779" i="34"/>
  <c r="P1779" i="34"/>
  <c r="A1780" i="34"/>
  <c r="B1780" i="34"/>
  <c r="P1780" i="34"/>
  <c r="A1781" i="34"/>
  <c r="B1781" i="34"/>
  <c r="P1781" i="34"/>
  <c r="A1782" i="34"/>
  <c r="B1782" i="34"/>
  <c r="P1782" i="34"/>
  <c r="A1783" i="34"/>
  <c r="B1783" i="34"/>
  <c r="P1783" i="34"/>
  <c r="A1784" i="34"/>
  <c r="B1784" i="34"/>
  <c r="P1784" i="34"/>
  <c r="A1785" i="34"/>
  <c r="B1785" i="34"/>
  <c r="P1785" i="34"/>
  <c r="A1786" i="34"/>
  <c r="B1786" i="34"/>
  <c r="P1786" i="34"/>
  <c r="A1787" i="34"/>
  <c r="B1787" i="34"/>
  <c r="P1787" i="34"/>
  <c r="A1788" i="34"/>
  <c r="B1788" i="34"/>
  <c r="P1788" i="34"/>
  <c r="A1789" i="34"/>
  <c r="B1789" i="34"/>
  <c r="P1789" i="34"/>
  <c r="A1790" i="34"/>
  <c r="B1790" i="34"/>
  <c r="P1790" i="34"/>
  <c r="A1791" i="34"/>
  <c r="B1791" i="34"/>
  <c r="P1791" i="34"/>
  <c r="A1792" i="34"/>
  <c r="B1792" i="34"/>
  <c r="P1792" i="34"/>
  <c r="A1793" i="34"/>
  <c r="B1793" i="34"/>
  <c r="P1793" i="34"/>
  <c r="A1794" i="34"/>
  <c r="B1794" i="34"/>
  <c r="P1794" i="34"/>
  <c r="A1795" i="34"/>
  <c r="B1795" i="34"/>
  <c r="P1795" i="34"/>
  <c r="A1796" i="34"/>
  <c r="B1796" i="34"/>
  <c r="P1796" i="34"/>
  <c r="A1797" i="34"/>
  <c r="B1797" i="34"/>
  <c r="P1797" i="34"/>
  <c r="A1798" i="34"/>
  <c r="B1798" i="34"/>
  <c r="P1798" i="34"/>
  <c r="A1799" i="34"/>
  <c r="B1799" i="34"/>
  <c r="P1799" i="34"/>
  <c r="A1800" i="34"/>
  <c r="B1800" i="34"/>
  <c r="P1800" i="34"/>
  <c r="A1801" i="34"/>
  <c r="B1801" i="34"/>
  <c r="P1801" i="34"/>
  <c r="A1802" i="34"/>
  <c r="B1802" i="34"/>
  <c r="P1802" i="34"/>
  <c r="A1803" i="34"/>
  <c r="B1803" i="34"/>
  <c r="P1803" i="34"/>
  <c r="A1804" i="34"/>
  <c r="B1804" i="34"/>
  <c r="P1804" i="34"/>
  <c r="A1805" i="34"/>
  <c r="B1805" i="34"/>
  <c r="P1805" i="34"/>
  <c r="A1806" i="34"/>
  <c r="B1806" i="34"/>
  <c r="P1806" i="34"/>
  <c r="A1807" i="34"/>
  <c r="B1807" i="34"/>
  <c r="P1807" i="34"/>
  <c r="A1808" i="34"/>
  <c r="B1808" i="34"/>
  <c r="P1808" i="34"/>
  <c r="A1809" i="34"/>
  <c r="B1809" i="34"/>
  <c r="P1809" i="34"/>
  <c r="A1810" i="34"/>
  <c r="B1810" i="34"/>
  <c r="P1810" i="34"/>
  <c r="A1811" i="34"/>
  <c r="B1811" i="34"/>
  <c r="P1811" i="34"/>
  <c r="A1812" i="34"/>
  <c r="B1812" i="34"/>
  <c r="P1812" i="34"/>
  <c r="A1813" i="34"/>
  <c r="B1813" i="34"/>
  <c r="P1813" i="34"/>
  <c r="A1814" i="34"/>
  <c r="B1814" i="34"/>
  <c r="P1814" i="34"/>
  <c r="A1815" i="34"/>
  <c r="B1815" i="34"/>
  <c r="P1815" i="34"/>
  <c r="A1816" i="34"/>
  <c r="B1816" i="34"/>
  <c r="P1816" i="34"/>
  <c r="A1817" i="34"/>
  <c r="B1817" i="34"/>
  <c r="P1817" i="34"/>
  <c r="A1818" i="34"/>
  <c r="B1818" i="34"/>
  <c r="P1818" i="34"/>
  <c r="A1819" i="34"/>
  <c r="B1819" i="34"/>
  <c r="P1819" i="34"/>
  <c r="A1820" i="34"/>
  <c r="B1820" i="34"/>
  <c r="P1820" i="34"/>
  <c r="A1821" i="34"/>
  <c r="B1821" i="34"/>
  <c r="P1821" i="34"/>
  <c r="A1822" i="34"/>
  <c r="B1822" i="34"/>
  <c r="P1822" i="34"/>
  <c r="A1823" i="34"/>
  <c r="B1823" i="34"/>
  <c r="P1823" i="34"/>
  <c r="A1824" i="34"/>
  <c r="B1824" i="34"/>
  <c r="P1824" i="34"/>
  <c r="A1825" i="34"/>
  <c r="B1825" i="34"/>
  <c r="P1825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A1210" i="34"/>
  <c r="B1210" i="34"/>
  <c r="A1211" i="34"/>
  <c r="B1211" i="34"/>
  <c r="A1212" i="34"/>
  <c r="B1212" i="34"/>
  <c r="A1213" i="34"/>
  <c r="B1213" i="34"/>
  <c r="A1214" i="34"/>
  <c r="B1214" i="34"/>
  <c r="A1215" i="34"/>
  <c r="B1215" i="34"/>
  <c r="A1216" i="34"/>
  <c r="B1216" i="34"/>
  <c r="A1217" i="34"/>
  <c r="B1217" i="34"/>
  <c r="A1218" i="34"/>
  <c r="B1218" i="34"/>
  <c r="A1219" i="34"/>
  <c r="B1219" i="34"/>
  <c r="A1220" i="34"/>
  <c r="B1220" i="34"/>
  <c r="A1221" i="34"/>
  <c r="B1221" i="34"/>
  <c r="A1222" i="34"/>
  <c r="B1222" i="34"/>
  <c r="A1223" i="34"/>
  <c r="B1223" i="34"/>
  <c r="A1224" i="34"/>
  <c r="B1224" i="34"/>
  <c r="A1225" i="34"/>
  <c r="B1225" i="34"/>
  <c r="A1226" i="34"/>
  <c r="B1226" i="34"/>
  <c r="A1227" i="34"/>
  <c r="B1227" i="34"/>
  <c r="A1228" i="34"/>
  <c r="B1228" i="34"/>
  <c r="A1229" i="34"/>
  <c r="B1229" i="34"/>
  <c r="A1230" i="34"/>
  <c r="B1230" i="34"/>
  <c r="A1231" i="34"/>
  <c r="B1231" i="34"/>
  <c r="A1232" i="34"/>
  <c r="B1232" i="34"/>
  <c r="A1233" i="34"/>
  <c r="B1233" i="34"/>
  <c r="A1234" i="34"/>
  <c r="B1234" i="34"/>
  <c r="A1235" i="34"/>
  <c r="B1235" i="34"/>
  <c r="A1236" i="34"/>
  <c r="B1236" i="34"/>
  <c r="A1237" i="34"/>
  <c r="B1237" i="34"/>
  <c r="A1238" i="34"/>
  <c r="B1238" i="34"/>
  <c r="A1239" i="34"/>
  <c r="B1239" i="34"/>
  <c r="A1240" i="34"/>
  <c r="B1240" i="34"/>
  <c r="A1241" i="34"/>
  <c r="B1241" i="34"/>
  <c r="A1242" i="34"/>
  <c r="B1242" i="34"/>
  <c r="A1243" i="34"/>
  <c r="B1243" i="34"/>
  <c r="A1244" i="34"/>
  <c r="B1244" i="34"/>
  <c r="A1245" i="34"/>
  <c r="B1245" i="34"/>
  <c r="A1246" i="34"/>
  <c r="B1246" i="34"/>
  <c r="A1247" i="34"/>
  <c r="B1247" i="34"/>
  <c r="A1248" i="34"/>
  <c r="B1248" i="34"/>
  <c r="A1249" i="34"/>
  <c r="B1249" i="34"/>
  <c r="A1250" i="34"/>
  <c r="B1250" i="34"/>
  <c r="A1251" i="34"/>
  <c r="B1251" i="34"/>
  <c r="A1252" i="34"/>
  <c r="B1252" i="34"/>
  <c r="A1253" i="34"/>
  <c r="B1253" i="34"/>
  <c r="A1254" i="34"/>
  <c r="B1254" i="34"/>
  <c r="A1255" i="34"/>
  <c r="B1255" i="34"/>
  <c r="A1256" i="34"/>
  <c r="B1256" i="34"/>
  <c r="A1257" i="34"/>
  <c r="B1257" i="34"/>
  <c r="A1258" i="34"/>
  <c r="B1258" i="34"/>
  <c r="A1259" i="34"/>
  <c r="B1259" i="34"/>
  <c r="A1260" i="34"/>
  <c r="B1260" i="34"/>
  <c r="A1261" i="34"/>
  <c r="B1261" i="34"/>
  <c r="A1262" i="34"/>
  <c r="B1262" i="34"/>
  <c r="A1263" i="34"/>
  <c r="B1263" i="34"/>
  <c r="A1264" i="34"/>
  <c r="B1264" i="34"/>
  <c r="A1265" i="34"/>
  <c r="B1265" i="34"/>
  <c r="A1266" i="34"/>
  <c r="B1266" i="34"/>
  <c r="A1267" i="34"/>
  <c r="B1267" i="34"/>
  <c r="A1268" i="34"/>
  <c r="B1268" i="34"/>
  <c r="A1269" i="34"/>
  <c r="B1269" i="34"/>
  <c r="A1270" i="34"/>
  <c r="B1270" i="34"/>
  <c r="A1271" i="34"/>
  <c r="B1271" i="34"/>
  <c r="A1272" i="34"/>
  <c r="B1272" i="34"/>
  <c r="A1273" i="34"/>
  <c r="B1273" i="34"/>
  <c r="A1274" i="34"/>
  <c r="B1274" i="34"/>
  <c r="A1275" i="34"/>
  <c r="B1275" i="34"/>
  <c r="A1276" i="34"/>
  <c r="B1276" i="34"/>
  <c r="A1277" i="34"/>
  <c r="B1277" i="34"/>
  <c r="A1278" i="34"/>
  <c r="B1278" i="34"/>
  <c r="A1279" i="34"/>
  <c r="B1279" i="34"/>
  <c r="A1280" i="34"/>
  <c r="B1280" i="34"/>
  <c r="A1281" i="34"/>
  <c r="B1281" i="34"/>
  <c r="A1282" i="34"/>
  <c r="B1282" i="34"/>
  <c r="A1283" i="34"/>
  <c r="B1283" i="34"/>
  <c r="A1284" i="34"/>
  <c r="B1284" i="34"/>
  <c r="A1285" i="34"/>
  <c r="B1285" i="34"/>
  <c r="A1286" i="34"/>
  <c r="B1286" i="34"/>
  <c r="A1287" i="34"/>
  <c r="B1287" i="34"/>
  <c r="A1288" i="34"/>
  <c r="B1288" i="34"/>
  <c r="A1289" i="34"/>
  <c r="B1289" i="34"/>
  <c r="A1290" i="34"/>
  <c r="B1290" i="34"/>
  <c r="A1291" i="34"/>
  <c r="B1291" i="34"/>
  <c r="A1292" i="34"/>
  <c r="B1292" i="34"/>
  <c r="A1293" i="34"/>
  <c r="B1293" i="34"/>
  <c r="A1294" i="34"/>
  <c r="B1294" i="34"/>
  <c r="A1295" i="34"/>
  <c r="B1295" i="34"/>
  <c r="A1296" i="34"/>
  <c r="B1296" i="34"/>
  <c r="A1297" i="34"/>
  <c r="B1297" i="34"/>
  <c r="A1298" i="34"/>
  <c r="B1298" i="34"/>
  <c r="A1299" i="34"/>
  <c r="B1299" i="34"/>
  <c r="A1300" i="34"/>
  <c r="B1300" i="34"/>
  <c r="A1301" i="34"/>
  <c r="B1301" i="34"/>
  <c r="A1302" i="34"/>
  <c r="B1302" i="34"/>
  <c r="A1303" i="34"/>
  <c r="B1303" i="34"/>
  <c r="A1304" i="34"/>
  <c r="B1304" i="34"/>
  <c r="A1305" i="34"/>
  <c r="B1305" i="34"/>
  <c r="A1306" i="34"/>
  <c r="B1306" i="34"/>
  <c r="A1307" i="34"/>
  <c r="B1307" i="34"/>
  <c r="A1308" i="34"/>
  <c r="B1308" i="34"/>
  <c r="A1309" i="34"/>
  <c r="B1309" i="34"/>
  <c r="A1310" i="34"/>
  <c r="B1310" i="34"/>
  <c r="A1311" i="34"/>
  <c r="B1311" i="34"/>
  <c r="A1312" i="34"/>
  <c r="B1312" i="34"/>
  <c r="A1313" i="34"/>
  <c r="B1313" i="34"/>
  <c r="A1314" i="34"/>
  <c r="B1314" i="34"/>
  <c r="A1315" i="34"/>
  <c r="B1315" i="34"/>
  <c r="A1316" i="34"/>
  <c r="B1316" i="34"/>
  <c r="A1317" i="34"/>
  <c r="B1317" i="34"/>
  <c r="A1318" i="34"/>
  <c r="B1318" i="34"/>
  <c r="A1319" i="34"/>
  <c r="B1319" i="34"/>
  <c r="A1320" i="34"/>
  <c r="B1320" i="34"/>
  <c r="A1321" i="34"/>
  <c r="B1321" i="34"/>
  <c r="A1322" i="34"/>
  <c r="B1322" i="34"/>
  <c r="A1323" i="34"/>
  <c r="B1323" i="34"/>
  <c r="A1324" i="34"/>
  <c r="B1324" i="34"/>
  <c r="A1325" i="34"/>
  <c r="B1325" i="34"/>
  <c r="A1326" i="34"/>
  <c r="B1326" i="34"/>
  <c r="A1327" i="34"/>
  <c r="B1327" i="34"/>
  <c r="A1328" i="34"/>
  <c r="B1328" i="34"/>
  <c r="A1329" i="34"/>
  <c r="B1329" i="34"/>
  <c r="A1330" i="34"/>
  <c r="B1330" i="34"/>
  <c r="A1331" i="34"/>
  <c r="B1331" i="34"/>
  <c r="A1332" i="34"/>
  <c r="B1332" i="34"/>
  <c r="A1333" i="34"/>
  <c r="B1333" i="34"/>
  <c r="A1334" i="34"/>
  <c r="B1334" i="34"/>
  <c r="A1335" i="34"/>
  <c r="B1335" i="34"/>
  <c r="A1336" i="34"/>
  <c r="B1336" i="34"/>
  <c r="A1337" i="34"/>
  <c r="B1337" i="34"/>
  <c r="A1338" i="34"/>
  <c r="B1338" i="34"/>
  <c r="A1339" i="34"/>
  <c r="B1339" i="34"/>
  <c r="A1340" i="34"/>
  <c r="B1340" i="34"/>
  <c r="A1341" i="34"/>
  <c r="B1341" i="34"/>
  <c r="A1342" i="34"/>
  <c r="B1342" i="34"/>
  <c r="A1343" i="34"/>
  <c r="B1343" i="34"/>
  <c r="A1344" i="34"/>
  <c r="B1344" i="34"/>
  <c r="A1345" i="34"/>
  <c r="B1345" i="34"/>
  <c r="A1346" i="34"/>
  <c r="B1346" i="34"/>
  <c r="A1347" i="34"/>
  <c r="B1347" i="34"/>
  <c r="A1348" i="34"/>
  <c r="B1348" i="34"/>
  <c r="A1349" i="34"/>
  <c r="B1349" i="34"/>
  <c r="A1350" i="34"/>
  <c r="B1350" i="34"/>
  <c r="A1351" i="34"/>
  <c r="B1351" i="34"/>
  <c r="A1352" i="34"/>
  <c r="B1352" i="34"/>
  <c r="P1352" i="34"/>
  <c r="A1353" i="34"/>
  <c r="B1353" i="34"/>
  <c r="P1353" i="34"/>
  <c r="A1354" i="34"/>
  <c r="B1354" i="34"/>
  <c r="P1354" i="34"/>
  <c r="A1355" i="34"/>
  <c r="B1355" i="34"/>
  <c r="P1355" i="34"/>
  <c r="A1356" i="34"/>
  <c r="B1356" i="34"/>
  <c r="P1356" i="34"/>
  <c r="A1357" i="34"/>
  <c r="B1357" i="34"/>
  <c r="P1357" i="34"/>
  <c r="A1358" i="34"/>
  <c r="B1358" i="34"/>
  <c r="P1358" i="34"/>
  <c r="A1359" i="34"/>
  <c r="B1359" i="34"/>
  <c r="P1359" i="34"/>
  <c r="A1360" i="34"/>
  <c r="B1360" i="34"/>
  <c r="P1360" i="34"/>
  <c r="A1361" i="34"/>
  <c r="B1361" i="34"/>
  <c r="P1361" i="34"/>
  <c r="A1362" i="34"/>
  <c r="B1362" i="34"/>
  <c r="P1362" i="34"/>
  <c r="A1363" i="34"/>
  <c r="B1363" i="34"/>
  <c r="P1363" i="34"/>
  <c r="A1364" i="34"/>
  <c r="B1364" i="34"/>
  <c r="P1364" i="34"/>
  <c r="A1365" i="34"/>
  <c r="B1365" i="34"/>
  <c r="P1365" i="34"/>
  <c r="A1366" i="34"/>
  <c r="B1366" i="34"/>
  <c r="P1366" i="34"/>
  <c r="A1367" i="34"/>
  <c r="B1367" i="34"/>
  <c r="P1367" i="34"/>
  <c r="A1368" i="34"/>
  <c r="B1368" i="34"/>
  <c r="P1368" i="34"/>
  <c r="A1369" i="34"/>
  <c r="B1369" i="34"/>
  <c r="P1369" i="34"/>
  <c r="A1370" i="34"/>
  <c r="B1370" i="34"/>
  <c r="P1370" i="34"/>
  <c r="A1371" i="34"/>
  <c r="B1371" i="34"/>
  <c r="P1371" i="34"/>
  <c r="A1372" i="34"/>
  <c r="B1372" i="34"/>
  <c r="P1372" i="34"/>
  <c r="A1373" i="34"/>
  <c r="B1373" i="34"/>
  <c r="P1373" i="34"/>
  <c r="A1374" i="34"/>
  <c r="B1374" i="34"/>
  <c r="P1374" i="34"/>
  <c r="A1375" i="34"/>
  <c r="B1375" i="34"/>
  <c r="P1375" i="34"/>
  <c r="A1376" i="34"/>
  <c r="B1376" i="34"/>
  <c r="P1376" i="34"/>
  <c r="A1377" i="34"/>
  <c r="B1377" i="34"/>
  <c r="P1377" i="34"/>
  <c r="A1378" i="34"/>
  <c r="B1378" i="34"/>
  <c r="P1378" i="34"/>
  <c r="A1379" i="34"/>
  <c r="B1379" i="34"/>
  <c r="P1379" i="34"/>
  <c r="A1380" i="34"/>
  <c r="B1380" i="34"/>
  <c r="P1380" i="34"/>
  <c r="A1381" i="34"/>
  <c r="B1381" i="34"/>
  <c r="P1381" i="34"/>
  <c r="A1382" i="34"/>
  <c r="B1382" i="34"/>
  <c r="P1382" i="34"/>
  <c r="A1383" i="34"/>
  <c r="B1383" i="34"/>
  <c r="P1383" i="34"/>
  <c r="A1384" i="34"/>
  <c r="B1384" i="34"/>
  <c r="P1384" i="34"/>
  <c r="A1385" i="34"/>
  <c r="B1385" i="34"/>
  <c r="P1385" i="34"/>
  <c r="A1386" i="34"/>
  <c r="B1386" i="34"/>
  <c r="P1386" i="34"/>
  <c r="A1387" i="34"/>
  <c r="B1387" i="34"/>
  <c r="P1387" i="34"/>
  <c r="A1388" i="34"/>
  <c r="B1388" i="34"/>
  <c r="P1388" i="34"/>
  <c r="A1389" i="34"/>
  <c r="B1389" i="34"/>
  <c r="P1389" i="34"/>
  <c r="A1390" i="34"/>
  <c r="B1390" i="34"/>
  <c r="P1390" i="34"/>
  <c r="A1391" i="34"/>
  <c r="B1391" i="34"/>
  <c r="P1391" i="34"/>
  <c r="A1392" i="34"/>
  <c r="B1392" i="34"/>
  <c r="P1392" i="34"/>
  <c r="A1393" i="34"/>
  <c r="B1393" i="34"/>
  <c r="P1393" i="34"/>
  <c r="A1394" i="34"/>
  <c r="B1394" i="34"/>
  <c r="P1394" i="34"/>
  <c r="A1395" i="34"/>
  <c r="B1395" i="34"/>
  <c r="P1395" i="34"/>
  <c r="A1396" i="34"/>
  <c r="B1396" i="34"/>
  <c r="P1396" i="34"/>
  <c r="A1397" i="34"/>
  <c r="B1397" i="34"/>
  <c r="P1397" i="34"/>
  <c r="A1398" i="34"/>
  <c r="B1398" i="34"/>
  <c r="P1398" i="34"/>
  <c r="A1399" i="34"/>
  <c r="B1399" i="34"/>
  <c r="P1399" i="34"/>
  <c r="A1400" i="34"/>
  <c r="B1400" i="34"/>
  <c r="P1400" i="34"/>
  <c r="A1401" i="34"/>
  <c r="B1401" i="34"/>
  <c r="P1401" i="34"/>
  <c r="A1402" i="34"/>
  <c r="B1402" i="34"/>
  <c r="P1402" i="34"/>
  <c r="A1403" i="34"/>
  <c r="B1403" i="34"/>
  <c r="P1403" i="34"/>
  <c r="A1404" i="34"/>
  <c r="B1404" i="34"/>
  <c r="P1404" i="34"/>
  <c r="A1405" i="34"/>
  <c r="B1405" i="34"/>
  <c r="P1405" i="34"/>
  <c r="A1406" i="34"/>
  <c r="B1406" i="34"/>
  <c r="P1406" i="34"/>
  <c r="A1407" i="34"/>
  <c r="B1407" i="34"/>
  <c r="P1407" i="34"/>
  <c r="A1408" i="34"/>
  <c r="B1408" i="34"/>
  <c r="P1408" i="34"/>
  <c r="A1409" i="34"/>
  <c r="B1409" i="34"/>
  <c r="P1409" i="34"/>
  <c r="A1410" i="34"/>
  <c r="B1410" i="34"/>
  <c r="P1410" i="34"/>
  <c r="A1411" i="34"/>
  <c r="B1411" i="34"/>
  <c r="P1411" i="34"/>
  <c r="A1412" i="34"/>
  <c r="B1412" i="34"/>
  <c r="P1412" i="34"/>
  <c r="A1413" i="34"/>
  <c r="B1413" i="34"/>
  <c r="P1413" i="34"/>
  <c r="A1414" i="34"/>
  <c r="B1414" i="34"/>
  <c r="P1414" i="34"/>
  <c r="A1415" i="34"/>
  <c r="B1415" i="34"/>
  <c r="P1415" i="34"/>
  <c r="A1416" i="34"/>
  <c r="B1416" i="34"/>
  <c r="P1416" i="34"/>
  <c r="A1417" i="34"/>
  <c r="B1417" i="34"/>
  <c r="P1417" i="34"/>
  <c r="A1418" i="34"/>
  <c r="B1418" i="34"/>
  <c r="P1418" i="34"/>
  <c r="A1419" i="34"/>
  <c r="B1419" i="34"/>
  <c r="P1419" i="34"/>
  <c r="A1420" i="34"/>
  <c r="B1420" i="34"/>
  <c r="P1420" i="34"/>
  <c r="A1421" i="34"/>
  <c r="B1421" i="34"/>
  <c r="P1421" i="34"/>
  <c r="A1422" i="34"/>
  <c r="B1422" i="34"/>
  <c r="P1422" i="34"/>
  <c r="A1423" i="34"/>
  <c r="B1423" i="34"/>
  <c r="P1423" i="34"/>
  <c r="A1424" i="34"/>
  <c r="B1424" i="34"/>
  <c r="P1424" i="34"/>
  <c r="A1425" i="34"/>
  <c r="B1425" i="34"/>
  <c r="P1425" i="34"/>
  <c r="A1426" i="34"/>
  <c r="B1426" i="34"/>
  <c r="P1426" i="34"/>
  <c r="A1427" i="34"/>
  <c r="B1427" i="34"/>
  <c r="P1427" i="34"/>
  <c r="A1428" i="34"/>
  <c r="B1428" i="34"/>
  <c r="P1428" i="34"/>
  <c r="A1429" i="34"/>
  <c r="B1429" i="34"/>
  <c r="P1429" i="34"/>
  <c r="A1430" i="34"/>
  <c r="B1430" i="34"/>
  <c r="P1430" i="34"/>
  <c r="A1431" i="34"/>
  <c r="B1431" i="34"/>
  <c r="P1431" i="34"/>
  <c r="A1432" i="34"/>
  <c r="B1432" i="34"/>
  <c r="P1432" i="34"/>
  <c r="A1433" i="34"/>
  <c r="B1433" i="34"/>
  <c r="P1433" i="34"/>
  <c r="A1434" i="34"/>
  <c r="B1434" i="34"/>
  <c r="P1434" i="34"/>
  <c r="A1435" i="34"/>
  <c r="B1435" i="34"/>
  <c r="P1435" i="34"/>
  <c r="A1436" i="34"/>
  <c r="B1436" i="34"/>
  <c r="P1436" i="34"/>
  <c r="A1437" i="34"/>
  <c r="B1437" i="34"/>
  <c r="P1437" i="34"/>
  <c r="A1438" i="34"/>
  <c r="B1438" i="34"/>
  <c r="P1438" i="34"/>
  <c r="A1439" i="34"/>
  <c r="B1439" i="34"/>
  <c r="P1439" i="34"/>
  <c r="A1440" i="34"/>
  <c r="B1440" i="34"/>
  <c r="P1440" i="34"/>
  <c r="A1441" i="34"/>
  <c r="B1441" i="34"/>
  <c r="P1441" i="34"/>
  <c r="A1442" i="34"/>
  <c r="B1442" i="34"/>
  <c r="P1442" i="34"/>
  <c r="A1443" i="34"/>
  <c r="B1443" i="34"/>
  <c r="P1443" i="34"/>
  <c r="A1444" i="34"/>
  <c r="B1444" i="34"/>
  <c r="P1444" i="34"/>
  <c r="A1445" i="34"/>
  <c r="B1445" i="34"/>
  <c r="P1445" i="34"/>
  <c r="A1446" i="34"/>
  <c r="B1446" i="34"/>
  <c r="P1446" i="34"/>
  <c r="A1447" i="34"/>
  <c r="B1447" i="34"/>
  <c r="P1447" i="34"/>
  <c r="A1448" i="34"/>
  <c r="B1448" i="34"/>
  <c r="P1448" i="34"/>
  <c r="A1449" i="34"/>
  <c r="B1449" i="34"/>
  <c r="P1449" i="34"/>
  <c r="A1450" i="34"/>
  <c r="B1450" i="34"/>
  <c r="P1450" i="34"/>
  <c r="A1451" i="34"/>
  <c r="B1451" i="34"/>
  <c r="P1451" i="34"/>
  <c r="A1452" i="34"/>
  <c r="B1452" i="34"/>
  <c r="P1452" i="34"/>
  <c r="A1453" i="34"/>
  <c r="B1453" i="34"/>
  <c r="P1453" i="34"/>
  <c r="A1454" i="34"/>
  <c r="B1454" i="34"/>
  <c r="P1454" i="34"/>
  <c r="A1455" i="34"/>
  <c r="B1455" i="34"/>
  <c r="P1455" i="34"/>
  <c r="A1456" i="34"/>
  <c r="B1456" i="34"/>
  <c r="P1456" i="34"/>
  <c r="A1457" i="34"/>
  <c r="B1457" i="34"/>
  <c r="P1457" i="34"/>
  <c r="A1458" i="34"/>
  <c r="B1458" i="34"/>
  <c r="P1458" i="34"/>
  <c r="A1459" i="34"/>
  <c r="B1459" i="34"/>
  <c r="P1459" i="34"/>
  <c r="A1460" i="34"/>
  <c r="B1460" i="34"/>
  <c r="P1460" i="34"/>
  <c r="A1461" i="34"/>
  <c r="B1461" i="34"/>
  <c r="P1461" i="34"/>
  <c r="A1462" i="34"/>
  <c r="B1462" i="34"/>
  <c r="P1462" i="34"/>
  <c r="A1463" i="34"/>
  <c r="B1463" i="34"/>
  <c r="P1463" i="34"/>
  <c r="A1464" i="34"/>
  <c r="B1464" i="34"/>
  <c r="P1464" i="34"/>
  <c r="A1465" i="34"/>
  <c r="B1465" i="34"/>
  <c r="P1465" i="34"/>
  <c r="A1466" i="34"/>
  <c r="B1466" i="34"/>
  <c r="P1466" i="34"/>
  <c r="A1467" i="34"/>
  <c r="B1467" i="34"/>
  <c r="P1467" i="34"/>
  <c r="A1468" i="34"/>
  <c r="B1468" i="34"/>
  <c r="P1468" i="34"/>
  <c r="A1469" i="34"/>
  <c r="B1469" i="34"/>
  <c r="P1469" i="34"/>
  <c r="A1470" i="34"/>
  <c r="B1470" i="34"/>
  <c r="P1470" i="34"/>
  <c r="A1471" i="34"/>
  <c r="B1471" i="34"/>
  <c r="P1471" i="34"/>
  <c r="A1472" i="34"/>
  <c r="B1472" i="34"/>
  <c r="P1472" i="34"/>
  <c r="A1473" i="34"/>
  <c r="B1473" i="34"/>
  <c r="P1473" i="34"/>
  <c r="A1474" i="34"/>
  <c r="B1474" i="34"/>
  <c r="P1474" i="34"/>
  <c r="A1475" i="34"/>
  <c r="B1475" i="34"/>
  <c r="P1475" i="34"/>
  <c r="A1476" i="34"/>
  <c r="B1476" i="34"/>
  <c r="P1476" i="34"/>
  <c r="A1477" i="34"/>
  <c r="B1477" i="34"/>
  <c r="P1477" i="34"/>
  <c r="A1478" i="34"/>
  <c r="B1478" i="34"/>
  <c r="P1478" i="34"/>
  <c r="A1479" i="34"/>
  <c r="B1479" i="34"/>
  <c r="P1479" i="34"/>
  <c r="A1480" i="34"/>
  <c r="B1480" i="34"/>
  <c r="P1480" i="34"/>
  <c r="A1481" i="34"/>
  <c r="B1481" i="34"/>
  <c r="P1481" i="34"/>
  <c r="A1482" i="34"/>
  <c r="B1482" i="34"/>
  <c r="P1482" i="34"/>
  <c r="A1483" i="34"/>
  <c r="B1483" i="34"/>
  <c r="P1483" i="34"/>
  <c r="A1484" i="34"/>
  <c r="B1484" i="34"/>
  <c r="P1484" i="34"/>
  <c r="A1485" i="34"/>
  <c r="B1485" i="34"/>
  <c r="P1485" i="34"/>
  <c r="A1486" i="34"/>
  <c r="B1486" i="34"/>
  <c r="P1486" i="34"/>
  <c r="A1487" i="34"/>
  <c r="B1487" i="34"/>
  <c r="P1487" i="34"/>
  <c r="A1488" i="34"/>
  <c r="B1488" i="34"/>
  <c r="P1488" i="34"/>
  <c r="A1489" i="34"/>
  <c r="B1489" i="34"/>
  <c r="P1489" i="34"/>
  <c r="A1490" i="34"/>
  <c r="B1490" i="34"/>
  <c r="P1490" i="34"/>
  <c r="A1491" i="34"/>
  <c r="B1491" i="34"/>
  <c r="P1491" i="34"/>
  <c r="A1492" i="34"/>
  <c r="B1492" i="34"/>
  <c r="P1492" i="34"/>
  <c r="A1493" i="34"/>
  <c r="B1493" i="34"/>
  <c r="P1493" i="34"/>
  <c r="A1494" i="34"/>
  <c r="B1494" i="34"/>
  <c r="P1494" i="34"/>
  <c r="A1495" i="34"/>
  <c r="B1495" i="34"/>
  <c r="P1495" i="34"/>
  <c r="A1496" i="34"/>
  <c r="B1496" i="34"/>
  <c r="P1496" i="34"/>
  <c r="A1497" i="34"/>
  <c r="B1497" i="34"/>
  <c r="P1497" i="34"/>
  <c r="A1498" i="34"/>
  <c r="B1498" i="34"/>
  <c r="P1498" i="34"/>
  <c r="A1499" i="34"/>
  <c r="B1499" i="34"/>
  <c r="P1499" i="34"/>
  <c r="A1500" i="34"/>
  <c r="B1500" i="34"/>
  <c r="P1500" i="34"/>
  <c r="A1501" i="34"/>
  <c r="B1501" i="34"/>
  <c r="P1501" i="34"/>
  <c r="A1502" i="34"/>
  <c r="B1502" i="34"/>
  <c r="P1502" i="34"/>
  <c r="A1503" i="34"/>
  <c r="B1503" i="34"/>
  <c r="P1503" i="34"/>
  <c r="A1504" i="34"/>
  <c r="B1504" i="34"/>
  <c r="P1504" i="34"/>
  <c r="A1505" i="34"/>
  <c r="B1505" i="34"/>
  <c r="P1505" i="34"/>
  <c r="A1506" i="34"/>
  <c r="B1506" i="34"/>
  <c r="P1506" i="34"/>
  <c r="A1507" i="34"/>
  <c r="B1507" i="34"/>
  <c r="P1507" i="34"/>
  <c r="A1508" i="34"/>
  <c r="B1508" i="34"/>
  <c r="P1508" i="34"/>
  <c r="A1509" i="34"/>
  <c r="B1509" i="34"/>
  <c r="P1509" i="34"/>
  <c r="A1510" i="34"/>
  <c r="B1510" i="34"/>
  <c r="P1510" i="34"/>
  <c r="A1511" i="34"/>
  <c r="B1511" i="34"/>
  <c r="P1511" i="34"/>
  <c r="A1512" i="34"/>
  <c r="B1512" i="34"/>
  <c r="P1512" i="34"/>
  <c r="A1513" i="34"/>
  <c r="B1513" i="34"/>
  <c r="P1513" i="34"/>
  <c r="A1514" i="34"/>
  <c r="B1514" i="34"/>
  <c r="P1514" i="34"/>
  <c r="A1515" i="34"/>
  <c r="B1515" i="34"/>
  <c r="P1515" i="34"/>
  <c r="A1516" i="34"/>
  <c r="B1516" i="34"/>
  <c r="P1516" i="34"/>
  <c r="A1517" i="34"/>
  <c r="B1517" i="34"/>
  <c r="P1517" i="34"/>
  <c r="A1518" i="34"/>
  <c r="B1518" i="34"/>
  <c r="P1518" i="34"/>
  <c r="A1519" i="34"/>
  <c r="B1519" i="34"/>
  <c r="P1519" i="34"/>
  <c r="A1520" i="34"/>
  <c r="B1520" i="34"/>
  <c r="P1520" i="34"/>
  <c r="A1521" i="34"/>
  <c r="B1521" i="34"/>
  <c r="P1521" i="34"/>
  <c r="A1522" i="34"/>
  <c r="B1522" i="34"/>
  <c r="P1522" i="34"/>
  <c r="A1523" i="34"/>
  <c r="B1523" i="34"/>
  <c r="P1523" i="34"/>
  <c r="A1524" i="34"/>
  <c r="B1524" i="34"/>
  <c r="P1524" i="34"/>
  <c r="A1525" i="34"/>
  <c r="B1525" i="34"/>
  <c r="P1525" i="34"/>
  <c r="A1526" i="34"/>
  <c r="B1526" i="34"/>
  <c r="P1526" i="34"/>
  <c r="A1527" i="34"/>
  <c r="B1527" i="34"/>
  <c r="P1527" i="34"/>
  <c r="A1528" i="34"/>
  <c r="B1528" i="34"/>
  <c r="P1528" i="34"/>
  <c r="A1529" i="34"/>
  <c r="B1529" i="34"/>
  <c r="P1529" i="34"/>
  <c r="A1530" i="34"/>
  <c r="B1530" i="34"/>
  <c r="P1530" i="34"/>
  <c r="A1531" i="34"/>
  <c r="B1531" i="34"/>
  <c r="P1531" i="34"/>
  <c r="A1532" i="34"/>
  <c r="B1532" i="34"/>
  <c r="P1532" i="34"/>
  <c r="A1533" i="34"/>
  <c r="B1533" i="34"/>
  <c r="P1533" i="34"/>
  <c r="A1534" i="34"/>
  <c r="B1534" i="34"/>
  <c r="P1534" i="34"/>
  <c r="A1535" i="34"/>
  <c r="B1535" i="34"/>
  <c r="P1535" i="34"/>
  <c r="A1536" i="34"/>
  <c r="B1536" i="34"/>
  <c r="P1536" i="34"/>
  <c r="A1537" i="34"/>
  <c r="B1537" i="34"/>
  <c r="P1537" i="34"/>
  <c r="A1538" i="34"/>
  <c r="B1538" i="34"/>
  <c r="P1538" i="34"/>
  <c r="A1539" i="34"/>
  <c r="B1539" i="34"/>
  <c r="P1539" i="34"/>
  <c r="A1540" i="34"/>
  <c r="B1540" i="34"/>
  <c r="P1540" i="34"/>
  <c r="A1541" i="34"/>
  <c r="B1541" i="34"/>
  <c r="P1541" i="34"/>
  <c r="A1542" i="34"/>
  <c r="B1542" i="34"/>
  <c r="P1542" i="34"/>
  <c r="A1543" i="34"/>
  <c r="B1543" i="34"/>
  <c r="P1543" i="34"/>
  <c r="A1544" i="34"/>
  <c r="B1544" i="34"/>
  <c r="P1544" i="34"/>
  <c r="A1545" i="34"/>
  <c r="B1545" i="34"/>
  <c r="P1545" i="34"/>
  <c r="A1546" i="34"/>
  <c r="B1546" i="34"/>
  <c r="P1546" i="34"/>
  <c r="A1547" i="34"/>
  <c r="B1547" i="34"/>
  <c r="P1547" i="34"/>
  <c r="A1548" i="34"/>
  <c r="B1548" i="34"/>
  <c r="P1548" i="34"/>
  <c r="A1549" i="34"/>
  <c r="B1549" i="34"/>
  <c r="P1549" i="34"/>
  <c r="A1550" i="34"/>
  <c r="B1550" i="34"/>
  <c r="P1550" i="34"/>
  <c r="A1551" i="34"/>
  <c r="B1551" i="34"/>
  <c r="P1551" i="34"/>
  <c r="A1552" i="34"/>
  <c r="B1552" i="34"/>
  <c r="P1552" i="34"/>
  <c r="A1553" i="34"/>
  <c r="B1553" i="34"/>
  <c r="P1553" i="34"/>
  <c r="A1554" i="34"/>
  <c r="B1554" i="34"/>
  <c r="P1554" i="34"/>
  <c r="A1555" i="34"/>
  <c r="B1555" i="34"/>
  <c r="P1555" i="34"/>
  <c r="A1556" i="34"/>
  <c r="B1556" i="34"/>
  <c r="P1556" i="34"/>
  <c r="A1557" i="34"/>
  <c r="B1557" i="34"/>
  <c r="P1557" i="34"/>
  <c r="A1558" i="34"/>
  <c r="B1558" i="34"/>
  <c r="P1558" i="34"/>
  <c r="A1559" i="34"/>
  <c r="B1559" i="34"/>
  <c r="P1559" i="34"/>
  <c r="A1560" i="34"/>
  <c r="B1560" i="34"/>
  <c r="P1560" i="34"/>
  <c r="A1561" i="34"/>
  <c r="B1561" i="34"/>
  <c r="P1561" i="34"/>
  <c r="A1562" i="34"/>
  <c r="B1562" i="34"/>
  <c r="P1562" i="34"/>
  <c r="A1563" i="34"/>
  <c r="B1563" i="34"/>
  <c r="P1563" i="34"/>
  <c r="A1564" i="34"/>
  <c r="B1564" i="34"/>
  <c r="P1564" i="34"/>
  <c r="A1565" i="34"/>
  <c r="B1565" i="34"/>
  <c r="P1565" i="34"/>
  <c r="A1566" i="34"/>
  <c r="B1566" i="34"/>
  <c r="P1566" i="34"/>
  <c r="A1567" i="34"/>
  <c r="B1567" i="34"/>
  <c r="P1567" i="34"/>
  <c r="A1568" i="34"/>
  <c r="B1568" i="34"/>
  <c r="P1568" i="34"/>
  <c r="A1569" i="34"/>
  <c r="B1569" i="34"/>
  <c r="P1569" i="34"/>
  <c r="A1570" i="34"/>
  <c r="B1570" i="34"/>
  <c r="P1570" i="34"/>
  <c r="A1571" i="34"/>
  <c r="B1571" i="34"/>
  <c r="P1571" i="34"/>
  <c r="A1572" i="34"/>
  <c r="B1572" i="34"/>
  <c r="P1572" i="34"/>
  <c r="A1573" i="34"/>
  <c r="B1573" i="34"/>
  <c r="P1573" i="34"/>
  <c r="A1574" i="34"/>
  <c r="B1574" i="34"/>
  <c r="P1574" i="34"/>
  <c r="A1575" i="34"/>
  <c r="B1575" i="34"/>
  <c r="P1575" i="34"/>
  <c r="A1576" i="34"/>
  <c r="B1576" i="34"/>
  <c r="P1576" i="34"/>
  <c r="A1577" i="34"/>
  <c r="B1577" i="34"/>
  <c r="P1577" i="34"/>
  <c r="A1578" i="34"/>
  <c r="B1578" i="34"/>
  <c r="P1578" i="34"/>
  <c r="A1579" i="34"/>
  <c r="B1579" i="34"/>
  <c r="P1579" i="34"/>
  <c r="A1580" i="34"/>
  <c r="B1580" i="34"/>
  <c r="P1580" i="34"/>
  <c r="A1581" i="34"/>
  <c r="B1581" i="34"/>
  <c r="P1581" i="34"/>
  <c r="A1582" i="34"/>
  <c r="B1582" i="34"/>
  <c r="P1582" i="34"/>
  <c r="A1583" i="34"/>
  <c r="B1583" i="34"/>
  <c r="P1583" i="34"/>
  <c r="A1584" i="34"/>
  <c r="B1584" i="34"/>
  <c r="P1584" i="34"/>
  <c r="A1585" i="34"/>
  <c r="B1585" i="34"/>
  <c r="P1585" i="34"/>
  <c r="A1586" i="34"/>
  <c r="B1586" i="34"/>
  <c r="P1586" i="34"/>
  <c r="A1587" i="34"/>
  <c r="B1587" i="34"/>
  <c r="P1587" i="34"/>
  <c r="A1588" i="34"/>
  <c r="B1588" i="34"/>
  <c r="P1588" i="34"/>
  <c r="G226" i="35" l="1"/>
  <c r="G214" i="35"/>
  <c r="G215" i="35"/>
  <c r="G216" i="35"/>
  <c r="G217" i="35"/>
  <c r="G218" i="35"/>
  <c r="G219" i="35"/>
  <c r="G220" i="35"/>
  <c r="G221" i="35"/>
  <c r="G222" i="35"/>
  <c r="G223" i="35"/>
  <c r="G213" i="35"/>
  <c r="G207" i="35"/>
  <c r="G208" i="35"/>
  <c r="G206" i="35"/>
  <c r="G200" i="35"/>
  <c r="G201" i="35"/>
  <c r="G202" i="35"/>
  <c r="G203" i="35"/>
  <c r="G199" i="35"/>
  <c r="G167" i="35"/>
  <c r="G168" i="35"/>
  <c r="G169" i="35"/>
  <c r="G170" i="35"/>
  <c r="G166" i="35"/>
  <c r="J27" i="40" l="1"/>
  <c r="H199" i="35"/>
  <c r="E199" i="35" l="1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36" i="35"/>
  <c r="J30" i="40" s="1"/>
  <c r="E19" i="40"/>
  <c r="A37" i="12"/>
  <c r="A38" i="12"/>
  <c r="A39" i="12"/>
  <c r="E29" i="40"/>
  <c r="F199" i="35"/>
  <c r="J23" i="40" l="1"/>
  <c r="G151" i="35"/>
  <c r="G254" i="35" l="1"/>
  <c r="G255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N15" i="40" s="1"/>
  <c r="F16" i="40"/>
  <c r="N16" i="40" s="1"/>
  <c r="F17" i="40"/>
  <c r="F18" i="40"/>
  <c r="F19" i="40"/>
  <c r="F20" i="40"/>
  <c r="N20" i="40" s="1"/>
  <c r="F21" i="40"/>
  <c r="F22" i="40"/>
  <c r="F24" i="40"/>
  <c r="N24" i="40" s="1"/>
  <c r="F25" i="40"/>
  <c r="F26" i="40"/>
  <c r="F27" i="40"/>
  <c r="F28" i="40"/>
  <c r="N28" i="40" s="1"/>
  <c r="F29" i="40"/>
  <c r="F30" i="40"/>
  <c r="N30" i="40" s="1"/>
  <c r="F31" i="40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45" i="3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52" i="35"/>
  <c r="G259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N12" i="40" l="1"/>
  <c r="G105" i="35"/>
  <c r="G106" i="35"/>
  <c r="G107" i="35"/>
  <c r="G109" i="35"/>
  <c r="G110" i="35"/>
  <c r="G111" i="35"/>
  <c r="G113" i="35"/>
  <c r="G114" i="35"/>
  <c r="G115" i="35"/>
  <c r="G117" i="35"/>
  <c r="G119" i="35"/>
  <c r="G120" i="35"/>
  <c r="G121" i="35"/>
  <c r="G122" i="35"/>
  <c r="G123" i="35"/>
  <c r="G124" i="35"/>
  <c r="G125" i="35"/>
  <c r="G126" i="35"/>
  <c r="G127" i="35"/>
  <c r="G128" i="35"/>
  <c r="G118" i="35"/>
  <c r="G76" i="35"/>
  <c r="G77" i="35"/>
  <c r="G78" i="35"/>
  <c r="G75" i="35"/>
  <c r="G141" i="35"/>
  <c r="G142" i="35"/>
  <c r="G143" i="35"/>
  <c r="G144" i="35"/>
  <c r="G145" i="35"/>
  <c r="G146" i="35"/>
  <c r="G147" i="35"/>
  <c r="G148" i="35"/>
  <c r="G149" i="35"/>
  <c r="G150" i="35"/>
  <c r="G152" i="35"/>
  <c r="G140" i="35"/>
  <c r="G156" i="35"/>
  <c r="G157" i="35"/>
  <c r="G158" i="35"/>
  <c r="G159" i="35"/>
  <c r="G160" i="35"/>
  <c r="G161" i="35"/>
  <c r="G162" i="35"/>
  <c r="G163" i="35"/>
  <c r="G155" i="35"/>
  <c r="G227" i="35"/>
  <c r="G228" i="35"/>
  <c r="G229" i="35"/>
  <c r="G230" i="35"/>
  <c r="G231" i="35"/>
  <c r="G235" i="35"/>
  <c r="G239" i="35"/>
  <c r="G240" i="35"/>
  <c r="G241" i="35"/>
  <c r="G242" i="35"/>
  <c r="G243" i="35"/>
  <c r="G244" i="35"/>
  <c r="G245" i="35"/>
  <c r="G238" i="35"/>
  <c r="G249" i="35"/>
  <c r="G250" i="35"/>
  <c r="G251" i="35"/>
  <c r="G248" i="35"/>
  <c r="G174" i="35"/>
  <c r="G175" i="35"/>
  <c r="G176" i="35"/>
  <c r="G177" i="35"/>
  <c r="G178" i="35"/>
  <c r="G179" i="35"/>
  <c r="G180" i="35"/>
  <c r="G173" i="35"/>
  <c r="P11" i="34"/>
  <c r="P12" i="34"/>
  <c r="P13" i="34"/>
  <c r="P14" i="34"/>
  <c r="P15" i="34"/>
  <c r="P16" i="34"/>
  <c r="P10" i="34"/>
  <c r="B631" i="34"/>
  <c r="A631" i="34"/>
  <c r="A32" i="12"/>
  <c r="A793" i="34"/>
  <c r="B793" i="34"/>
  <c r="G138" i="35" l="1"/>
  <c r="G197" i="35"/>
  <c r="A816" i="34"/>
  <c r="B816" i="34"/>
  <c r="A817" i="34"/>
  <c r="B817" i="34"/>
  <c r="F101" i="35"/>
  <c r="F59" i="35"/>
  <c r="F24" i="35"/>
  <c r="F21" i="35"/>
  <c r="F6" i="35"/>
  <c r="G88" i="35"/>
  <c r="G92" i="35" s="1"/>
  <c r="A781" i="34" l="1"/>
  <c r="B781" i="34"/>
  <c r="A782" i="34"/>
  <c r="B782" i="34"/>
  <c r="A807" i="34" l="1"/>
  <c r="B807" i="34"/>
  <c r="A795" i="34" l="1"/>
  <c r="B795" i="34"/>
  <c r="A792" i="34"/>
  <c r="B792" i="34"/>
  <c r="E155" i="35"/>
  <c r="A771" i="34"/>
  <c r="B771" i="34"/>
  <c r="A772" i="34"/>
  <c r="B772" i="34"/>
  <c r="A784" i="34"/>
  <c r="B784" i="34"/>
  <c r="F138" i="35"/>
  <c r="F30" i="35"/>
  <c r="I30" i="35" s="1"/>
  <c r="H30" i="35" l="1"/>
  <c r="H31" i="35" s="1"/>
  <c r="G30" i="35"/>
  <c r="G31" i="35" s="1"/>
  <c r="I31" i="35"/>
  <c r="F31" i="35"/>
  <c r="E31" i="35"/>
  <c r="L275" i="35"/>
  <c r="A769" i="34"/>
  <c r="B769" i="34"/>
  <c r="A770" i="34"/>
  <c r="B770" i="34"/>
  <c r="A750" i="34"/>
  <c r="B750" i="34"/>
  <c r="A773" i="34"/>
  <c r="B773" i="34"/>
  <c r="A774" i="34"/>
  <c r="B774" i="34"/>
  <c r="G264" i="35"/>
  <c r="H264" i="35" s="1"/>
  <c r="I264" i="35" s="1"/>
  <c r="G265" i="35"/>
  <c r="H265" i="35" s="1"/>
  <c r="I265" i="35" s="1"/>
  <c r="G266" i="35"/>
  <c r="H266" i="35" s="1"/>
  <c r="I266" i="35" s="1"/>
  <c r="I103" i="35"/>
  <c r="H103" i="35"/>
  <c r="G103" i="35"/>
  <c r="F103" i="35"/>
  <c r="E103" i="35"/>
  <c r="I73" i="35"/>
  <c r="H73" i="35"/>
  <c r="G73" i="35"/>
  <c r="F73" i="35"/>
  <c r="E73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4" i="35"/>
  <c r="G104" i="35"/>
  <c r="G74" i="35"/>
  <c r="I74" i="35"/>
  <c r="H64" i="35"/>
  <c r="F260" i="35"/>
  <c r="F197" i="35"/>
  <c r="F99" i="35"/>
  <c r="F246" i="35"/>
  <c r="F236" i="35"/>
  <c r="F86" i="35"/>
  <c r="F92" i="35" s="1"/>
  <c r="F84" i="35"/>
  <c r="F224" i="35"/>
  <c r="F211" i="35"/>
  <c r="F204" i="35"/>
  <c r="F171" i="35"/>
  <c r="F164" i="35"/>
  <c r="F145" i="35"/>
  <c r="F140" i="35"/>
  <c r="F79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97" i="35"/>
  <c r="K26" i="40"/>
  <c r="L26" i="40" s="1"/>
  <c r="G64" i="35"/>
  <c r="I64" i="35"/>
  <c r="E64" i="35"/>
  <c r="G65" i="35" l="1"/>
  <c r="F153" i="35"/>
  <c r="I65" i="35"/>
  <c r="C262" i="35"/>
  <c r="A1" i="35"/>
  <c r="C263" i="35"/>
  <c r="J263" i="35"/>
  <c r="J262" i="35"/>
  <c r="J264" i="35"/>
  <c r="J265" i="35"/>
  <c r="J266" i="35"/>
  <c r="I60" i="35" l="1"/>
  <c r="H60" i="35"/>
  <c r="G60" i="35"/>
  <c r="E60" i="35"/>
  <c r="B633" i="34"/>
  <c r="A14" i="12"/>
  <c r="A31" i="12"/>
  <c r="I260" i="35"/>
  <c r="K32" i="40" s="1"/>
  <c r="H260" i="35"/>
  <c r="G260" i="35"/>
  <c r="E260" i="35"/>
  <c r="I198" i="35"/>
  <c r="G198" i="35"/>
  <c r="I57" i="35"/>
  <c r="H57" i="35"/>
  <c r="G57" i="35"/>
  <c r="E57" i="35"/>
  <c r="I99" i="35"/>
  <c r="H99" i="35"/>
  <c r="G99" i="35"/>
  <c r="E99" i="35"/>
  <c r="I246" i="35"/>
  <c r="K31" i="40" s="1"/>
  <c r="L31" i="40" s="1"/>
  <c r="H246" i="35"/>
  <c r="G246" i="35"/>
  <c r="E246" i="35"/>
  <c r="I236" i="35"/>
  <c r="G236" i="35"/>
  <c r="E236" i="35"/>
  <c r="H92" i="35"/>
  <c r="I93" i="35" s="1"/>
  <c r="E92" i="35"/>
  <c r="I84" i="35"/>
  <c r="H84" i="35"/>
  <c r="G84" i="35"/>
  <c r="E84" i="35"/>
  <c r="I224" i="35"/>
  <c r="K29" i="40" s="1"/>
  <c r="L29" i="40" s="1"/>
  <c r="G224" i="35"/>
  <c r="E224" i="35"/>
  <c r="H213" i="35"/>
  <c r="H224" i="35" s="1"/>
  <c r="I211" i="35"/>
  <c r="K28" i="40" s="1"/>
  <c r="L28" i="40" s="1"/>
  <c r="H211" i="35"/>
  <c r="G211" i="35"/>
  <c r="E211" i="35"/>
  <c r="I204" i="35"/>
  <c r="K27" i="40" s="1"/>
  <c r="L27" i="40" s="1"/>
  <c r="H204" i="35"/>
  <c r="G204" i="35"/>
  <c r="E204" i="35"/>
  <c r="I171" i="35"/>
  <c r="K25" i="40" s="1"/>
  <c r="L25" i="40" s="1"/>
  <c r="H171" i="35"/>
  <c r="G171" i="35"/>
  <c r="E171" i="35"/>
  <c r="I164" i="35"/>
  <c r="K24" i="40" s="1"/>
  <c r="L24" i="40" s="1"/>
  <c r="H164" i="35"/>
  <c r="G164" i="35"/>
  <c r="E164" i="35"/>
  <c r="I153" i="35"/>
  <c r="G153" i="35"/>
  <c r="H145" i="35"/>
  <c r="H153" i="35" s="1"/>
  <c r="I79" i="35"/>
  <c r="H79" i="35"/>
  <c r="G79" i="35"/>
  <c r="E79" i="35"/>
  <c r="K22" i="40"/>
  <c r="L22" i="40" s="1"/>
  <c r="E138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3" i="35"/>
  <c r="K154" i="35"/>
  <c r="H154" i="35" s="1"/>
  <c r="I154" i="35" s="1"/>
  <c r="K23" i="40"/>
  <c r="L23" i="40" s="1"/>
  <c r="K30" i="40"/>
  <c r="I237" i="35"/>
  <c r="G237" i="35"/>
  <c r="I247" i="35"/>
  <c r="I100" i="35"/>
  <c r="G58" i="35"/>
  <c r="I58" i="35"/>
  <c r="I261" i="35"/>
  <c r="A633" i="34"/>
  <c r="G100" i="35"/>
  <c r="G225" i="35"/>
  <c r="I85" i="35"/>
  <c r="G247" i="35"/>
  <c r="G261" i="35"/>
  <c r="G61" i="35"/>
  <c r="I61" i="35"/>
  <c r="I17" i="35"/>
  <c r="I69" i="35"/>
  <c r="I20" i="35"/>
  <c r="I23" i="35"/>
  <c r="I26" i="35"/>
  <c r="I29" i="35"/>
  <c r="I35" i="35"/>
  <c r="I53" i="35"/>
  <c r="I139" i="35"/>
  <c r="I80" i="35"/>
  <c r="E153" i="35"/>
  <c r="G154" i="35" s="1"/>
  <c r="G69" i="35"/>
  <c r="G20" i="35"/>
  <c r="G23" i="35"/>
  <c r="G26" i="35"/>
  <c r="G29" i="35"/>
  <c r="G35" i="35"/>
  <c r="G53" i="35"/>
  <c r="G139" i="35"/>
  <c r="G80" i="35"/>
  <c r="G165" i="35"/>
  <c r="I165" i="35"/>
  <c r="G172" i="35"/>
  <c r="I172" i="35"/>
  <c r="G205" i="35"/>
  <c r="I205" i="35"/>
  <c r="G212" i="35"/>
  <c r="I212" i="35"/>
  <c r="I225" i="35"/>
  <c r="G85" i="35"/>
  <c r="G17" i="35"/>
  <c r="L30" i="40" l="1"/>
  <c r="K274" i="35"/>
  <c r="K275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M11" i="34"/>
  <c r="M15" i="34"/>
  <c r="M14" i="34"/>
  <c r="M13" i="34"/>
  <c r="M12" i="34"/>
  <c r="B15" i="34" l="1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L32" i="40" l="1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J14" i="14" l="1"/>
  <c r="I14" i="14"/>
  <c r="I15" i="14" l="1"/>
  <c r="J15" i="14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M10" i="34"/>
  <c r="M1830" i="34" s="1"/>
  <c r="F39" i="15" s="1" a="1"/>
  <c r="F39" i="15" s="1"/>
  <c r="E21" i="12" l="1" a="1"/>
  <c r="E21" i="12" s="1"/>
  <c r="F26" i="12" a="1"/>
  <c r="F26" i="12" s="1"/>
  <c r="E25" i="12" a="1"/>
  <c r="E25" i="12" s="1"/>
  <c r="F36" i="15" a="1"/>
  <c r="F36" i="15" s="1"/>
  <c r="E26" i="15" a="1"/>
  <c r="E26" i="15" s="1"/>
  <c r="F7" i="12" a="1"/>
  <c r="F7" i="12" s="1"/>
  <c r="E24" i="15" a="1"/>
  <c r="E24" i="15" s="1"/>
  <c r="F5" i="12" a="1"/>
  <c r="F5" i="12" s="1"/>
  <c r="F10" i="12" a="1"/>
  <c r="F10" i="12" s="1"/>
  <c r="F15" i="15" a="1"/>
  <c r="F15" i="15" s="1"/>
  <c r="F27" i="12" a="1"/>
  <c r="F27" i="12" s="1"/>
  <c r="F6" i="12" a="1"/>
  <c r="F6" i="12" s="1"/>
  <c r="E17" i="12" a="1"/>
  <c r="E17" i="12" s="1"/>
  <c r="F34" i="15" a="1"/>
  <c r="F34" i="15" s="1"/>
  <c r="E44" i="15" a="1"/>
  <c r="E44" i="15" s="1"/>
  <c r="F19" i="12" a="1"/>
  <c r="F19" i="12" s="1"/>
  <c r="E31" i="15" a="1"/>
  <c r="E31" i="15" s="1"/>
  <c r="F21" i="12" a="1"/>
  <c r="F21" i="12" s="1"/>
  <c r="E24" i="12" a="1"/>
  <c r="E24" i="12" s="1"/>
  <c r="F44" i="15" a="1"/>
  <c r="F44" i="15" s="1"/>
  <c r="E41" i="15" a="1"/>
  <c r="E41" i="15" s="1"/>
  <c r="E10" i="15" a="1"/>
  <c r="E10" i="15" s="1"/>
  <c r="E15" i="15" a="1"/>
  <c r="E15" i="15" s="1"/>
  <c r="E9" i="12" a="1"/>
  <c r="E9" i="12" s="1"/>
  <c r="E26" i="12" a="1"/>
  <c r="E26" i="12" s="1"/>
  <c r="F12" i="15" a="1"/>
  <c r="F12" i="15" s="1"/>
  <c r="E29" i="15" a="1"/>
  <c r="E29" i="15" s="1"/>
  <c r="F29" i="12" a="1"/>
  <c r="F29" i="12" s="1"/>
  <c r="F24" i="15" a="1"/>
  <c r="F24" i="15" s="1"/>
  <c r="F43" i="12" s="1"/>
  <c r="E10" i="12" a="1"/>
  <c r="E10" i="12" s="1"/>
  <c r="E22" i="12" a="1"/>
  <c r="E22" i="12" s="1"/>
  <c r="F30" i="12" a="1"/>
  <c r="F30" i="12" s="1"/>
  <c r="E12" i="12" a="1"/>
  <c r="E12" i="12" s="1"/>
  <c r="E13" i="12" a="1"/>
  <c r="E13" i="12" s="1"/>
  <c r="F13" i="12" a="1"/>
  <c r="F13" i="12" s="1"/>
  <c r="E17" i="15" a="1"/>
  <c r="E17" i="15" s="1"/>
  <c r="E28" i="12" a="1"/>
  <c r="E28" i="12" s="1"/>
  <c r="E43" i="15" a="1"/>
  <c r="E43" i="15" s="1"/>
  <c r="F40" i="15" a="1"/>
  <c r="F40" i="15" s="1"/>
  <c r="F43" i="15" a="1"/>
  <c r="F43" i="15" s="1"/>
  <c r="F8" i="12" a="1"/>
  <c r="F8" i="12" s="1"/>
  <c r="E11" i="12" a="1"/>
  <c r="E11" i="12" s="1"/>
  <c r="E12" i="15" a="1"/>
  <c r="E12" i="15" s="1"/>
  <c r="F17" i="15" a="1"/>
  <c r="F17" i="15" s="1"/>
  <c r="F22" i="12" a="1"/>
  <c r="F22" i="12" s="1"/>
  <c r="E8" i="12" a="1"/>
  <c r="E8" i="12" s="1"/>
  <c r="F26" i="15" a="1"/>
  <c r="F26" i="15" s="1"/>
  <c r="F28" i="12" a="1"/>
  <c r="F28" i="12" s="1"/>
  <c r="F11" i="12" a="1"/>
  <c r="F11" i="12" s="1"/>
  <c r="F24" i="12" a="1"/>
  <c r="F24" i="12" s="1"/>
  <c r="F12" i="12" a="1"/>
  <c r="F12" i="12" s="1"/>
  <c r="E23" i="12" a="1"/>
  <c r="E23" i="12" s="1"/>
  <c r="E7" i="12" a="1"/>
  <c r="E7" i="12" s="1"/>
  <c r="F16" i="12" a="1"/>
  <c r="F16" i="12" s="1"/>
  <c r="E42" i="15" a="1"/>
  <c r="E42" i="15" s="1"/>
  <c r="E30" i="12" a="1"/>
  <c r="E30" i="12" s="1"/>
  <c r="E19" i="12" a="1"/>
  <c r="E19" i="12" s="1"/>
  <c r="E20" i="15" a="1"/>
  <c r="E20" i="15" s="1"/>
  <c r="F32" i="15" a="1"/>
  <c r="F32" i="15" s="1"/>
  <c r="E37" i="12" a="1"/>
  <c r="E37" i="12" s="1"/>
  <c r="H10" i="40" a="1"/>
  <c r="H10" i="40" s="1"/>
  <c r="K10" i="40" s="1"/>
  <c r="H17" i="40" a="1"/>
  <c r="H17" i="40" s="1"/>
  <c r="K17" i="40" s="1"/>
  <c r="H24" i="40" a="1"/>
  <c r="H24" i="40" s="1"/>
  <c r="H31" i="40" a="1"/>
  <c r="H31" i="40" s="1"/>
  <c r="H9" i="40" a="1"/>
  <c r="H9" i="40" s="1"/>
  <c r="K9" i="40" s="1"/>
  <c r="G17" i="40" a="1"/>
  <c r="G17" i="40" s="1"/>
  <c r="G24" i="40" a="1"/>
  <c r="G24" i="40" s="1"/>
  <c r="I24" i="40" s="1"/>
  <c r="G31" i="40" a="1"/>
  <c r="G31" i="40" s="1"/>
  <c r="G9" i="40" a="1"/>
  <c r="G9" i="40" s="1"/>
  <c r="F35" i="12" a="1"/>
  <c r="F35" i="12" s="1"/>
  <c r="H18" i="40" a="1"/>
  <c r="H18" i="40" s="1"/>
  <c r="K18" i="40" s="1"/>
  <c r="H29" i="40" a="1"/>
  <c r="H29" i="40" s="1"/>
  <c r="H14" i="40" a="1"/>
  <c r="H14" i="40" s="1"/>
  <c r="K14" i="40" s="1"/>
  <c r="E4" i="12" a="1"/>
  <c r="E4" i="12" s="1"/>
  <c r="G23" i="40" a="1"/>
  <c r="G23" i="40" s="1"/>
  <c r="G30" i="40" a="1"/>
  <c r="G30" i="40" s="1"/>
  <c r="G5" i="40" a="1"/>
  <c r="G5" i="40" s="1"/>
  <c r="E35" i="12" a="1"/>
  <c r="E35" i="12" s="1"/>
  <c r="G35" i="12" s="1"/>
  <c r="F34" i="12" a="1"/>
  <c r="F34" i="12" s="1"/>
  <c r="E32" i="12" a="1"/>
  <c r="E32" i="12" s="1"/>
  <c r="E20" i="12" a="1"/>
  <c r="E20" i="12" s="1"/>
  <c r="F262" i="35" a="1"/>
  <c r="F262" i="35" s="1"/>
  <c r="F14" i="12" a="1"/>
  <c r="F14" i="12" s="1"/>
  <c r="F32" i="12" a="1"/>
  <c r="F32" i="12" s="1"/>
  <c r="H32" i="12" s="1"/>
  <c r="F15" i="12" a="1"/>
  <c r="F15" i="12" s="1"/>
  <c r="F20" i="12" a="1"/>
  <c r="F20" i="12" s="1"/>
  <c r="H20" i="12" s="1"/>
  <c r="F19" i="15" a="1"/>
  <c r="F19" i="15" s="1"/>
  <c r="E13" i="15" a="1"/>
  <c r="E13" i="15" s="1"/>
  <c r="F37" i="12" a="1"/>
  <c r="F37" i="12" s="1"/>
  <c r="H37" i="12" s="1"/>
  <c r="E38" i="12" a="1"/>
  <c r="E38" i="12" s="1"/>
  <c r="F37" i="40" a="1"/>
  <c r="F37" i="40" s="1"/>
  <c r="H11" i="40" a="1"/>
  <c r="H11" i="40" s="1"/>
  <c r="K11" i="40" s="1"/>
  <c r="H26" i="40" a="1"/>
  <c r="H26" i="40" s="1"/>
  <c r="H8" i="40" a="1"/>
  <c r="H8" i="40" s="1"/>
  <c r="K8" i="40" s="1"/>
  <c r="H16" i="40" a="1"/>
  <c r="H16" i="40" s="1"/>
  <c r="K16" i="40" s="1"/>
  <c r="G11" i="40" a="1"/>
  <c r="G11" i="40" s="1"/>
  <c r="G26" i="40" a="1"/>
  <c r="G26" i="40" s="1"/>
  <c r="I26" i="40" s="1"/>
  <c r="G8" i="40" a="1"/>
  <c r="G8" i="40" s="1"/>
  <c r="G16" i="40" a="1"/>
  <c r="G16" i="40" s="1"/>
  <c r="F36" i="12" a="1"/>
  <c r="F36" i="12" s="1"/>
  <c r="H23" i="40" a="1"/>
  <c r="H23" i="40" s="1"/>
  <c r="H30" i="40" a="1"/>
  <c r="H30" i="40" s="1"/>
  <c r="H5" i="40" a="1"/>
  <c r="H5" i="40" s="1"/>
  <c r="G7" i="40" a="1"/>
  <c r="G7" i="40" s="1"/>
  <c r="G25" i="40" a="1"/>
  <c r="G25" i="40" s="1"/>
  <c r="G20" i="40" a="1"/>
  <c r="G20" i="40" s="1"/>
  <c r="G33" i="40" a="1"/>
  <c r="G33" i="40" s="1"/>
  <c r="E36" i="12" a="1"/>
  <c r="E36" i="12" s="1"/>
  <c r="G36" i="12" s="1"/>
  <c r="E34" i="12" a="1"/>
  <c r="E34" i="12" s="1"/>
  <c r="G34" i="12" s="1"/>
  <c r="F263" i="35" a="1"/>
  <c r="F263" i="35" s="1"/>
  <c r="G263" i="35" s="1"/>
  <c r="H263" i="35" s="1"/>
  <c r="I263" i="35" s="1"/>
  <c r="E14" i="12" a="1"/>
  <c r="E14" i="12" s="1"/>
  <c r="G14" i="12" s="1"/>
  <c r="E19" i="15" a="1"/>
  <c r="E19" i="15" s="1"/>
  <c r="F13" i="15" a="1"/>
  <c r="F13" i="15" s="1"/>
  <c r="H13" i="15" s="1"/>
  <c r="F38" i="12" a="1"/>
  <c r="F38" i="12" s="1"/>
  <c r="H38" i="12" s="1"/>
  <c r="E39" i="12" a="1"/>
  <c r="E39" i="12" s="1"/>
  <c r="E40" i="15" a="1"/>
  <c r="E40" i="15" s="1"/>
  <c r="H13" i="40" a="1"/>
  <c r="H13" i="40" s="1"/>
  <c r="K13" i="40" s="1"/>
  <c r="H28" i="40" a="1"/>
  <c r="H28" i="40" s="1"/>
  <c r="H32" i="40" a="1"/>
  <c r="H32" i="40" s="1"/>
  <c r="H34" i="40" a="1"/>
  <c r="H34" i="40" s="1"/>
  <c r="K34" i="40" s="1"/>
  <c r="G13" i="40" a="1"/>
  <c r="G13" i="40" s="1"/>
  <c r="G28" i="40" a="1"/>
  <c r="G28" i="40" s="1"/>
  <c r="I28" i="40" s="1"/>
  <c r="G32" i="40" a="1"/>
  <c r="G32" i="40" s="1"/>
  <c r="I32" i="40" s="1"/>
  <c r="G34" i="40" a="1"/>
  <c r="G34" i="40" s="1"/>
  <c r="H7" i="40" a="1"/>
  <c r="H7" i="40" s="1"/>
  <c r="K7" i="40" s="1"/>
  <c r="H25" i="40" a="1"/>
  <c r="H25" i="40" s="1"/>
  <c r="H20" i="40" a="1"/>
  <c r="H20" i="40" s="1"/>
  <c r="K20" i="40" s="1"/>
  <c r="H33" i="40" a="1"/>
  <c r="H33" i="40" s="1"/>
  <c r="K33" i="40" s="1"/>
  <c r="G12" i="40" a="1"/>
  <c r="G12" i="40" s="1"/>
  <c r="G27" i="40" a="1"/>
  <c r="G27" i="40" s="1"/>
  <c r="G15" i="40" a="1"/>
  <c r="G15" i="40" s="1"/>
  <c r="G35" i="40" a="1"/>
  <c r="G35" i="40" s="1"/>
  <c r="E22" i="15" a="1"/>
  <c r="E22" i="15" s="1"/>
  <c r="E33" i="12" a="1"/>
  <c r="E33" i="12" s="1"/>
  <c r="E263" i="35" a="1"/>
  <c r="E263" i="35" s="1"/>
  <c r="F20" i="15" a="1"/>
  <c r="F20" i="15" s="1"/>
  <c r="H20" i="15" s="1"/>
  <c r="E32" i="15" a="1"/>
  <c r="E32" i="15" s="1"/>
  <c r="G32" i="15" s="1"/>
  <c r="F39" i="12" a="1"/>
  <c r="F39" i="12" s="1"/>
  <c r="H39" i="12" s="1"/>
  <c r="G10" i="40" a="1"/>
  <c r="G10" i="40" s="1"/>
  <c r="G37" i="40" a="1"/>
  <c r="G37" i="40" s="1"/>
  <c r="H22" i="40" a="1"/>
  <c r="H22" i="40" s="1"/>
  <c r="H19" i="40" a="1"/>
  <c r="H19" i="40" s="1"/>
  <c r="K19" i="40" s="1"/>
  <c r="H21" i="40" a="1"/>
  <c r="H21" i="40" s="1"/>
  <c r="K21" i="40" s="1"/>
  <c r="H6" i="40" a="1"/>
  <c r="H6" i="40" s="1"/>
  <c r="K6" i="40" s="1"/>
  <c r="G22" i="40" a="1"/>
  <c r="G22" i="40" s="1"/>
  <c r="I22" i="40" s="1"/>
  <c r="G19" i="40" a="1"/>
  <c r="G19" i="40" s="1"/>
  <c r="G21" i="40" a="1"/>
  <c r="G21" i="40" s="1"/>
  <c r="G6" i="40" a="1"/>
  <c r="G6" i="40" s="1"/>
  <c r="H12" i="40" a="1"/>
  <c r="H12" i="40" s="1"/>
  <c r="K12" i="40" s="1"/>
  <c r="H27" i="40" a="1"/>
  <c r="H27" i="40" s="1"/>
  <c r="H15" i="40" a="1"/>
  <c r="H15" i="40" s="1"/>
  <c r="K15" i="40" s="1"/>
  <c r="H35" i="40" a="1"/>
  <c r="H35" i="40" s="1"/>
  <c r="K35" i="40" s="1"/>
  <c r="G18" i="40" a="1"/>
  <c r="G18" i="40" s="1"/>
  <c r="G29" i="40" a="1"/>
  <c r="G29" i="40" s="1"/>
  <c r="I29" i="40" s="1"/>
  <c r="G14" i="40" a="1"/>
  <c r="G14" i="40" s="1"/>
  <c r="F4" i="12" a="1"/>
  <c r="F4" i="12" s="1"/>
  <c r="F22" i="15" a="1"/>
  <c r="F22" i="15" s="1"/>
  <c r="F33" i="12" a="1"/>
  <c r="F33" i="12" s="1"/>
  <c r="H33" i="12" s="1"/>
  <c r="E15" i="12" a="1"/>
  <c r="E15" i="12" s="1"/>
  <c r="G15" i="12" s="1"/>
  <c r="E262" i="35" a="1"/>
  <c r="E262" i="35" s="1"/>
  <c r="E31" i="12" a="1"/>
  <c r="E31" i="12" s="1"/>
  <c r="F31" i="12" a="1"/>
  <c r="F31" i="12" s="1"/>
  <c r="H31" i="12" s="1"/>
  <c r="E16" i="12" a="1"/>
  <c r="E16" i="12" s="1"/>
  <c r="G16" i="12" s="1"/>
  <c r="F10" i="15" a="1"/>
  <c r="F10" i="15" s="1"/>
  <c r="F29" i="15" a="1"/>
  <c r="F29" i="15" s="1"/>
  <c r="E39" i="15" a="1"/>
  <c r="E39" i="15" s="1"/>
  <c r="I39" i="15" s="1"/>
  <c r="F31" i="15" a="1"/>
  <c r="F31" i="15" s="1"/>
  <c r="F33" i="15" s="1"/>
  <c r="E25" i="15" a="1"/>
  <c r="E25" i="15" s="1"/>
  <c r="E34" i="15" a="1"/>
  <c r="E34" i="15" s="1"/>
  <c r="F25" i="15" a="1"/>
  <c r="F25" i="15" s="1"/>
  <c r="I25" i="15" s="1"/>
  <c r="E45" i="15" a="1"/>
  <c r="E45" i="15" s="1"/>
  <c r="F9" i="12" a="1"/>
  <c r="F9" i="12" s="1"/>
  <c r="E6" i="12" a="1"/>
  <c r="E6" i="12" s="1"/>
  <c r="F17" i="12" a="1"/>
  <c r="F17" i="12" s="1"/>
  <c r="G17" i="12" s="1"/>
  <c r="E5" i="12" a="1"/>
  <c r="E5" i="12" s="1"/>
  <c r="F18" i="12" a="1"/>
  <c r="F18" i="12" s="1"/>
  <c r="G18" i="12" s="1"/>
  <c r="F25" i="12" a="1"/>
  <c r="F25" i="12" s="1"/>
  <c r="E27" i="12" a="1"/>
  <c r="E27" i="12" s="1"/>
  <c r="H27" i="12" s="1"/>
  <c r="E29" i="12" a="1"/>
  <c r="E29" i="12" s="1"/>
  <c r="G29" i="12" s="1"/>
  <c r="E36" i="15" a="1"/>
  <c r="E36" i="15" s="1"/>
  <c r="G36" i="15" s="1"/>
  <c r="E18" i="12" a="1"/>
  <c r="E18" i="12" s="1"/>
  <c r="F23" i="12" a="1"/>
  <c r="F23" i="12" s="1"/>
  <c r="F41" i="12" s="1"/>
  <c r="F45" i="12" s="1"/>
  <c r="F41" i="15" a="1"/>
  <c r="F41" i="15" s="1"/>
  <c r="I41" i="15" s="1"/>
  <c r="F42" i="15" a="1"/>
  <c r="F42" i="15" s="1"/>
  <c r="I42" i="15" s="1"/>
  <c r="H26" i="12"/>
  <c r="H8" i="12"/>
  <c r="H10" i="12"/>
  <c r="G21" i="12"/>
  <c r="J36" i="14"/>
  <c r="I36" i="14"/>
  <c r="I44" i="15"/>
  <c r="H7" i="12"/>
  <c r="H30" i="12"/>
  <c r="G24" i="15"/>
  <c r="E43" i="12"/>
  <c r="G25" i="12"/>
  <c r="H28" i="12"/>
  <c r="H24" i="12"/>
  <c r="H19" i="12"/>
  <c r="E37" i="15" a="1"/>
  <c r="E37" i="15" s="1"/>
  <c r="F37" i="15" a="1"/>
  <c r="F37" i="15" s="1"/>
  <c r="F38" i="15" s="1"/>
  <c r="F45" i="15" a="1"/>
  <c r="F45" i="15" s="1"/>
  <c r="I40" i="15"/>
  <c r="H9" i="12"/>
  <c r="H6" i="12"/>
  <c r="H12" i="12"/>
  <c r="G12" i="15"/>
  <c r="G15" i="15"/>
  <c r="E16" i="15"/>
  <c r="G25" i="15"/>
  <c r="G26" i="15"/>
  <c r="G27" i="15" s="1"/>
  <c r="I26" i="15"/>
  <c r="E27" i="15"/>
  <c r="E28" i="15" s="1"/>
  <c r="H17" i="15"/>
  <c r="F18" i="15"/>
  <c r="F11" i="15"/>
  <c r="H10" i="15"/>
  <c r="H11" i="15" s="1"/>
  <c r="F27" i="15"/>
  <c r="F28" i="15" s="1"/>
  <c r="H26" i="15"/>
  <c r="H27" i="15" s="1"/>
  <c r="F16" i="15"/>
  <c r="H15" i="15"/>
  <c r="H16" i="15" s="1"/>
  <c r="H34" i="15"/>
  <c r="F35" i="15"/>
  <c r="G17" i="15"/>
  <c r="E18" i="15"/>
  <c r="H4" i="12"/>
  <c r="H11" i="12"/>
  <c r="G7" i="12"/>
  <c r="G28" i="12"/>
  <c r="G24" i="12"/>
  <c r="G19" i="12"/>
  <c r="F30" i="15"/>
  <c r="H29" i="15"/>
  <c r="H30" i="15" s="1"/>
  <c r="E11" i="15"/>
  <c r="G10" i="15"/>
  <c r="G4" i="12"/>
  <c r="E35" i="15"/>
  <c r="G34" i="15"/>
  <c r="H12" i="15"/>
  <c r="H14" i="15" s="1"/>
  <c r="G29" i="15"/>
  <c r="G30" i="15" s="1"/>
  <c r="E30" i="15"/>
  <c r="G22" i="12"/>
  <c r="H22" i="12"/>
  <c r="G9" i="12"/>
  <c r="G26" i="12"/>
  <c r="G8" i="12"/>
  <c r="G6" i="12"/>
  <c r="H24" i="15"/>
  <c r="G10" i="12"/>
  <c r="H25" i="12"/>
  <c r="G12" i="12"/>
  <c r="H13" i="12"/>
  <c r="H21" i="12"/>
  <c r="G30" i="12"/>
  <c r="I31" i="40" l="1"/>
  <c r="E31" i="40"/>
  <c r="E267" i="35"/>
  <c r="E269" i="35" s="1"/>
  <c r="I43" i="15"/>
  <c r="H31" i="15"/>
  <c r="H18" i="12"/>
  <c r="H25" i="15"/>
  <c r="H28" i="15" s="1"/>
  <c r="H16" i="12"/>
  <c r="E38" i="15"/>
  <c r="H17" i="12"/>
  <c r="G27" i="12"/>
  <c r="I45" i="15"/>
  <c r="E41" i="12"/>
  <c r="G13" i="12"/>
  <c r="H23" i="12"/>
  <c r="G5" i="12"/>
  <c r="G23" i="12"/>
  <c r="I6" i="40"/>
  <c r="J6" i="40"/>
  <c r="L6" i="40" s="1"/>
  <c r="J37" i="40"/>
  <c r="H37" i="40"/>
  <c r="H39" i="40" s="1"/>
  <c r="K37" i="40"/>
  <c r="J35" i="40"/>
  <c r="L35" i="40" s="1"/>
  <c r="I35" i="40"/>
  <c r="J34" i="40"/>
  <c r="L34" i="40" s="1"/>
  <c r="I34" i="40"/>
  <c r="G19" i="15"/>
  <c r="E21" i="15"/>
  <c r="J7" i="40"/>
  <c r="L7" i="40" s="1"/>
  <c r="I7" i="40"/>
  <c r="H36" i="12"/>
  <c r="J11" i="40"/>
  <c r="L11" i="40" s="1"/>
  <c r="I11" i="40"/>
  <c r="G13" i="15"/>
  <c r="G14" i="15" s="1"/>
  <c r="G32" i="12"/>
  <c r="I30" i="40"/>
  <c r="G37" i="12"/>
  <c r="H29" i="12"/>
  <c r="H36" i="15"/>
  <c r="J14" i="40"/>
  <c r="L14" i="40" s="1"/>
  <c r="I14" i="40"/>
  <c r="I21" i="40"/>
  <c r="J21" i="40"/>
  <c r="L21" i="40" s="1"/>
  <c r="J10" i="40"/>
  <c r="L10" i="40" s="1"/>
  <c r="I10" i="40"/>
  <c r="J15" i="40"/>
  <c r="L15" i="40" s="1"/>
  <c r="I15" i="40"/>
  <c r="G39" i="12"/>
  <c r="J33" i="40"/>
  <c r="L33" i="40" s="1"/>
  <c r="I33" i="40"/>
  <c r="K5" i="40"/>
  <c r="J16" i="40"/>
  <c r="L16" i="40" s="1"/>
  <c r="I16" i="40"/>
  <c r="F39" i="40"/>
  <c r="N37" i="40"/>
  <c r="F21" i="15"/>
  <c r="H19" i="15"/>
  <c r="H14" i="12"/>
  <c r="H34" i="12"/>
  <c r="I23" i="40"/>
  <c r="H32" i="15"/>
  <c r="H33" i="15" s="1"/>
  <c r="E14" i="15"/>
  <c r="J19" i="40"/>
  <c r="L19" i="40" s="1"/>
  <c r="I19" i="40"/>
  <c r="G33" i="12"/>
  <c r="I27" i="40"/>
  <c r="J20" i="40"/>
  <c r="L20" i="40" s="1"/>
  <c r="I20" i="40"/>
  <c r="J8" i="40"/>
  <c r="L8" i="40" s="1"/>
  <c r="I8" i="40"/>
  <c r="G38" i="12"/>
  <c r="G262" i="35"/>
  <c r="F267" i="35"/>
  <c r="F269" i="35" s="1"/>
  <c r="H35" i="12"/>
  <c r="J17" i="40"/>
  <c r="L17" i="40" s="1"/>
  <c r="I17" i="40"/>
  <c r="G20" i="15"/>
  <c r="G11" i="12"/>
  <c r="F14" i="15"/>
  <c r="H5" i="12"/>
  <c r="G31" i="15"/>
  <c r="G33" i="15" s="1"/>
  <c r="G31" i="12"/>
  <c r="F23" i="15"/>
  <c r="H22" i="15"/>
  <c r="J18" i="40"/>
  <c r="L18" i="40" s="1"/>
  <c r="I18" i="40"/>
  <c r="F40" i="40"/>
  <c r="G22" i="15"/>
  <c r="E23" i="15"/>
  <c r="J12" i="40"/>
  <c r="L12" i="40" s="1"/>
  <c r="I12" i="40"/>
  <c r="J13" i="40"/>
  <c r="L13" i="40" s="1"/>
  <c r="I13" i="40"/>
  <c r="I25" i="40"/>
  <c r="H15" i="12"/>
  <c r="G20" i="12"/>
  <c r="I5" i="40"/>
  <c r="J5" i="40"/>
  <c r="G39" i="40"/>
  <c r="J9" i="40"/>
  <c r="L9" i="40" s="1"/>
  <c r="I9" i="40"/>
  <c r="E33" i="15"/>
  <c r="G18" i="15"/>
  <c r="G11" i="15"/>
  <c r="G16" i="15"/>
  <c r="I37" i="14"/>
  <c r="L274" i="35"/>
  <c r="M274" i="35" s="1"/>
  <c r="J37" i="14"/>
  <c r="H37" i="15"/>
  <c r="G37" i="15"/>
  <c r="G38" i="15" s="1"/>
  <c r="G35" i="15"/>
  <c r="E45" i="12"/>
  <c r="I28" i="15"/>
  <c r="H35" i="15"/>
  <c r="H18" i="15"/>
  <c r="I27" i="15"/>
  <c r="G28" i="15"/>
  <c r="N31" i="40" l="1"/>
  <c r="N39" i="40" s="1"/>
  <c r="E39" i="40"/>
  <c r="K39" i="40"/>
  <c r="F46" i="15"/>
  <c r="H38" i="15"/>
  <c r="G23" i="15"/>
  <c r="G41" i="12"/>
  <c r="H41" i="12"/>
  <c r="E46" i="15"/>
  <c r="E48" i="15" s="1"/>
  <c r="H21" i="15"/>
  <c r="H23" i="15"/>
  <c r="H262" i="35"/>
  <c r="G267" i="35"/>
  <c r="G269" i="35" s="1"/>
  <c r="J39" i="40"/>
  <c r="L5" i="40"/>
  <c r="L39" i="40" s="1"/>
  <c r="I39" i="40"/>
  <c r="G21" i="15"/>
  <c r="F41" i="40"/>
  <c r="J38" i="14"/>
  <c r="I38" i="14"/>
  <c r="H46" i="15" l="1"/>
  <c r="G46" i="15"/>
  <c r="I262" i="35"/>
  <c r="H267" i="35"/>
  <c r="I39" i="14"/>
  <c r="J39" i="14"/>
  <c r="A741" i="34"/>
  <c r="H48" i="15" l="1"/>
  <c r="H269" i="35"/>
  <c r="I267" i="35"/>
  <c r="I269" i="35" s="1"/>
  <c r="K273" i="35"/>
  <c r="J40" i="14"/>
  <c r="I40" i="14"/>
  <c r="B741" i="34"/>
  <c r="I268" i="35" l="1"/>
  <c r="I41" i="14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75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<sst xmlns="http://schemas.openxmlformats.org/spreadsheetml/2006/main" count="9715" uniqueCount="1527">
  <si>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</si>
  <si>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</si>
  <si>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</si>
  <si>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</si>
  <si>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</si>
  <si>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</si>
  <si>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</si>
  <si>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</si>
  <si>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</si>
  <si>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</si>
  <si>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</si>
  <si>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</si>
  <si>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</si>
  <si>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</si>
  <si>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</si>
  <si>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</si>
  <si>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</si>
  <si>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</si>
  <si>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</si>
  <si>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</si>
  <si>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</si>
  <si>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</si>
  <si>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</si>
  <si>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</si>
  <si>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</si>
  <si>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</si>
  <si>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</si>
  <si>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</si>
  <si>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</si>
  <si>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</si>
  <si>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</si>
  <si>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</si>
  <si>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</si>
  <si>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</si>
  <si>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</si>
  <si>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</si>
  <si>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</si>
  <si>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</si>
  <si>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</si>
  <si>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</si>
  <si>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</si>
  <si>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</si>
  <si>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</si>
  <si>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</si>
  <si>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</si>
  <si>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</si>
  <si>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</si>
  <si>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</si>
  <si>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</si>
  <si>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</si>
  <si>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</si>
  <si>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</si>
  <si>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</si>
  <si>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</si>
  <si>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</si>
  <si>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</si>
  <si>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</si>
  <si>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</si>
  <si>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</si>
  <si>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</si>
  <si>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</si>
  <si>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</si>
  <si>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</si>
  <si>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</si>
  <si>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</si>
  <si>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</si>
  <si>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</si>
  <si>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</si>
  <si>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</si>
  <si>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</si>
  <si>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</si>
  <si>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</si>
  <si>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</si>
  <si>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</si>
  <si>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</si>
  <si>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</si>
  <si>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</si>
  <si>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</si>
  <si>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</si>
  <si>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</si>
  <si>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</si>
  <si>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</si>
  <si>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</si>
  <si>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</si>
  <si>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</si>
  <si>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</si>
  <si>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</si>
  <si>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</si>
  <si>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</si>
  <si>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</si>
  <si>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</si>
  <si>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</si>
  <si>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</si>
  <si>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</si>
  <si>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</si>
  <si>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</si>
  <si>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</si>
  <si>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</si>
  <si>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</si>
  <si>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</si>
  <si>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</si>
  <si>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</si>
  <si>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</si>
  <si>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</si>
  <si>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</si>
  <si>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</si>
  <si>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</si>
  <si>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</si>
  <si>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</si>
  <si>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</si>
  <si>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</si>
  <si>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</si>
  <si>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</si>
  <si>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</si>
  <si>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</si>
  <si>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</si>
  <si>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</si>
  <si>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</si>
  <si>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</si>
  <si>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</si>
  <si>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</si>
  <si>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</si>
  <si>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</si>
  <si>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</si>
  <si>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</si>
  <si>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</si>
  <si>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</si>
  <si>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</si>
  <si>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</si>
  <si>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</si>
  <si>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</si>
  <si>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</si>
  <si>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</si>
  <si>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</si>
  <si>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</si>
  <si>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</si>
  <si>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</si>
  <si>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</si>
  <si>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</si>
  <si>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</si>
  <si>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</si>
  <si>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</si>
  <si>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</si>
  <si>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</si>
  <si>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</si>
  <si>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</si>
  <si>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</si>
  <si>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</si>
  <si>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</si>
  <si>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</si>
  <si>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</si>
  <si>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</si>
  <si>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</si>
  <si>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</si>
  <si>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</si>
  <si>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</si>
  <si>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</si>
  <si>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</si>
  <si>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</si>
  <si>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</si>
  <si>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</si>
  <si>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</si>
  <si>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</si>
  <si>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</si>
  <si>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</si>
  <si>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</si>
  <si>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</si>
  <si>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</si>
  <si>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</si>
  <si>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</si>
  <si>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</si>
  <si>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</si>
  <si>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</si>
  <si>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</si>
  <si>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</si>
  <si>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</si>
  <si>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</si>
  <si>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</si>
  <si>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</si>
  <si>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</si>
  <si>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</si>
  <si>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</si>
  <si>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</si>
  <si>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</si>
  <si>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</si>
  <si>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</si>
  <si>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</si>
  <si>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</si>
  <si>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</si>
  <si>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</si>
  <si>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</si>
  <si>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</si>
  <si>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</si>
  <si>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</si>
  <si>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</si>
  <si>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</si>
  <si>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</si>
  <si>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</si>
  <si>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</si>
  <si>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</si>
  <si>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</si>
  <si>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</si>
  <si>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</si>
  <si>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</si>
  <si>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</si>
  <si>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</si>
  <si>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</si>
  <si>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</si>
  <si>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</si>
  <si>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</si>
  <si>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</si>
  <si>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</si>
  <si>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</si>
  <si>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</si>
  <si>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</si>
  <si>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</si>
  <si>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</si>
  <si>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</si>
  <si>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</si>
  <si>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</si>
  <si>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</si>
  <si>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</si>
  <si>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</si>
  <si>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</si>
  <si>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</si>
  <si>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</si>
  <si>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</si>
  <si>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</si>
  <si>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</si>
  <si>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</si>
  <si>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</si>
  <si>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</si>
  <si>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</si>
  <si>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</si>
  <si>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</si>
  <si>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</si>
  <si>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</si>
  <si>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</si>
  <si>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</si>
  <si>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</si>
  <si>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</si>
  <si>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</si>
  <si>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</si>
  <si>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</si>
  <si>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</si>
  <si>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</si>
  <si>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</si>
  <si>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</si>
  <si>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</si>
  <si>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</si>
  <si>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</si>
  <si>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</si>
  <si>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</si>
  <si>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</si>
  <si>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</si>
  <si>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</si>
  <si>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</si>
  <si>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</si>
  <si>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</si>
  <si>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</si>
  <si>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</si>
  <si>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</si>
  <si>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</si>
  <si>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</si>
  <si>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</si>
  <si>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</si>
  <si>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</si>
  <si>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</si>
  <si>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</si>
  <si>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</si>
  <si>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</si>
  <si>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</si>
  <si>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</si>
  <si>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</si>
  <si>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</si>
  <si>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</si>
  <si>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</si>
  <si>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</si>
  <si>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</si>
  <si>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</si>
  <si>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</si>
  <si>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</si>
  <si>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</si>
  <si>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</si>
  <si>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</si>
  <si>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</si>
  <si>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</si>
  <si>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</si>
  <si>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</si>
  <si>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</si>
  <si>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</si>
  <si>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</si>
  <si>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</si>
  <si>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</si>
  <si>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</si>
  <si>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</si>
  <si>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</si>
  <si>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</si>
  <si>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</si>
  <si>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</si>
  <si>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</si>
  <si>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</si>
  <si>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</si>
  <si>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</si>
  <si>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</si>
  <si>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</si>
  <si>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</si>
  <si>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</si>
  <si>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</si>
  <si>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</si>
  <si>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</si>
  <si>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</si>
  <si>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</si>
  <si>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</si>
  <si>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</si>
  <si>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</si>
  <si>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</si>
  <si>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</si>
  <si>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</si>
  <si>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</si>
  <si>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</si>
  <si>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</si>
  <si>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</si>
  <si>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</si>
  <si>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</si>
  <si>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</si>
  <si>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</si>
  <si>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</si>
  <si>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</si>
  <si>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</si>
  <si>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</si>
  <si>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</si>
  <si>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</si>
  <si>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</si>
  <si>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</si>
  <si>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</si>
  <si>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</si>
  <si>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</si>
  <si>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</si>
  <si>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</si>
  <si>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</si>
  <si>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</si>
  <si>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</si>
  <si>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</si>
  <si>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</si>
  <si>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</si>
  <si>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</si>
  <si>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</si>
  <si>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</si>
  <si>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</si>
  <si>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</si>
  <si>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</si>
  <si>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</si>
  <si>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</si>
  <si>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</si>
  <si>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</si>
  <si>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</si>
  <si>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</si>
  <si>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</si>
  <si>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</si>
  <si>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</si>
  <si>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</si>
  <si>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</si>
  <si>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</si>
  <si>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</si>
  <si>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</si>
  <si>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</si>
  <si>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</si>
  <si>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</si>
  <si>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</si>
  <si>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</si>
  <si>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</si>
  <si>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</si>
  <si>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</si>
  <si>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</si>
  <si>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</si>
  <si>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</si>
  <si>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</si>
  <si>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</si>
  <si>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</si>
  <si>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</si>
  <si>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</si>
  <si>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</si>
  <si>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</si>
  <si>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</si>
  <si>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</si>
  <si>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</si>
  <si>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</si>
  <si>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</si>
  <si>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</si>
  <si>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</si>
  <si>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</si>
  <si>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</si>
  <si>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</si>
  <si>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</si>
  <si>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</si>
  <si>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</si>
  <si>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</si>
  <si>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</si>
  <si>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</si>
  <si>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</si>
  <si>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</si>
  <si>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</si>
  <si>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</si>
  <si>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</si>
  <si>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</si>
  <si>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</si>
  <si>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</si>
  <si>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</si>
  <si>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</si>
  <si>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</si>
  <si>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</si>
  <si>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</si>
  <si>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</si>
  <si>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</si>
  <si>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</si>
  <si>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</si>
  <si>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</si>
  <si>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</si>
  <si>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</si>
  <si>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</si>
  <si>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</si>
  <si>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</si>
  <si>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</si>
  <si>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</si>
  <si>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</si>
  <si>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</si>
  <si>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</si>
  <si>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</si>
  <si>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</si>
  <si>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</si>
  <si>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</si>
  <si>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</si>
  <si>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</si>
  <si>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</si>
  <si>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</si>
  <si>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</si>
  <si>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</si>
  <si>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</si>
  <si>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</si>
  <si>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</si>
  <si>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</si>
  <si>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</si>
  <si>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</si>
  <si>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</si>
  <si>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</si>
  <si>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</si>
  <si>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</si>
  <si>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</si>
  <si>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</si>
  <si>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</si>
  <si>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</si>
  <si>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</si>
  <si>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</si>
  <si>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</si>
  <si>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</si>
  <si>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</si>
  <si>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</si>
  <si>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</si>
  <si>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</si>
  <si>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</si>
  <si>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</si>
  <si>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</si>
  <si>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</si>
  <si>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</si>
  <si>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</si>
  <si>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</si>
  <si>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</si>
  <si>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</si>
  <si>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</si>
  <si>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</si>
  <si>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</si>
  <si>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</si>
  <si>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</si>
  <si>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</si>
  <si>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</si>
  <si>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</si>
  <si>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</si>
  <si>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</si>
  <si>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</si>
  <si>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</si>
  <si>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</si>
  <si>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</si>
  <si>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</si>
  <si>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</si>
  <si>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</si>
  <si>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</si>
  <si>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</si>
  <si>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</si>
  <si>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</si>
  <si>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</si>
  <si>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</si>
  <si>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</si>
  <si>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</si>
  <si>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</si>
  <si>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</si>
  <si>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</si>
  <si>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</si>
  <si>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</si>
  <si>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</si>
  <si>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</si>
  <si>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</si>
  <si>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</si>
  <si>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</si>
  <si>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</si>
  <si>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</si>
  <si>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</si>
  <si>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</si>
  <si>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</si>
  <si>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</si>
  <si>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</si>
  <si>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</si>
  <si>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</si>
  <si>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</si>
  <si>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</si>
  <si>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</si>
  <si>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</si>
  <si>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</si>
  <si>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</si>
  <si>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</si>
  <si>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</si>
  <si>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</si>
  <si>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</si>
  <si>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</si>
  <si>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</si>
  <si>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</si>
  <si>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</si>
  <si>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</si>
  <si>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</si>
  <si>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</si>
  <si>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</si>
  <si>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</si>
  <si>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</si>
  <si>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</si>
  <si>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</si>
  <si>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</si>
  <si>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</si>
  <si>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</si>
  <si>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</si>
  <si>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</si>
  <si>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</si>
  <si>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</si>
  <si>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</si>
  <si>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</si>
  <si>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</si>
  <si>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</si>
  <si>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</si>
  <si>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</si>
  <si>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</si>
  <si>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</si>
  <si>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</si>
  <si>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</si>
  <si>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</si>
  <si>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</si>
  <si>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</si>
  <si>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</si>
  <si>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</si>
  <si>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</si>
  <si>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</si>
  <si>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</si>
  <si>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</si>
  <si>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</si>
  <si>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</si>
  <si>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</si>
  <si>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</si>
  <si>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</si>
  <si>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</si>
  <si>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</si>
  <si>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</si>
  <si>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</si>
  <si>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</si>
  <si>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</si>
  <si>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</si>
  <si>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</si>
  <si>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</si>
  <si>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</si>
  <si>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</si>
  <si>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</si>
  <si>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</si>
  <si>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</si>
  <si>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</si>
  <si>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</si>
  <si>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</si>
  <si>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</si>
  <si>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</si>
  <si>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</si>
  <si>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</si>
  <si>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</si>
  <si>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</si>
  <si>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</si>
  <si>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</si>
  <si>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</si>
  <si>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</si>
  <si>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</si>
  <si>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</si>
  <si>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</si>
  <si>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</si>
  <si>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</si>
  <si>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</si>
  <si>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</si>
  <si>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</si>
  <si>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</si>
  <si>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</si>
  <si>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</si>
  <si>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</si>
  <si>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</si>
  <si>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</si>
  <si>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</si>
  <si>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</si>
  <si>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</si>
  <si>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</si>
  <si>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</si>
  <si>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</si>
  <si>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</si>
  <si>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</si>
  <si>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</si>
  <si>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</si>
  <si>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</si>
  <si>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</si>
  <si>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</si>
  <si>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</si>
  <si>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</si>
  <si>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</si>
  <si>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</si>
  <si>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</si>
  <si>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</si>
  <si>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</si>
  <si>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</si>
  <si>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</si>
  <si>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</si>
  <si>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</si>
  <si>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</si>
  <si>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</si>
  <si>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</si>
  <si>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</si>
  <si>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</si>
  <si>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</si>
  <si>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</si>
  <si>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</si>
  <si>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</si>
  <si>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</si>
  <si>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</si>
  <si>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</si>
  <si>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</si>
  <si>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</si>
  <si>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</si>
  <si>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</si>
  <si>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</si>
  <si>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</si>
  <si>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</si>
  <si>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</si>
  <si>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</si>
  <si>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</si>
  <si>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</si>
  <si>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</si>
  <si>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</si>
  <si>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</si>
  <si>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</si>
  <si>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</si>
  <si>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</si>
  <si>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</si>
  <si>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</si>
  <si>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</si>
  <si>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</si>
  <si>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</si>
  <si>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</si>
  <si>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</si>
  <si>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</si>
  <si>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</si>
  <si>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</si>
  <si>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</si>
  <si>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</si>
  <si>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</si>
  <si>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</si>
  <si>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</si>
  <si>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</si>
  <si>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</si>
  <si>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</si>
  <si>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</si>
  <si>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</si>
  <si>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</si>
  <si>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</si>
  <si>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</si>
  <si>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</si>
  <si>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</si>
  <si>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</si>
  <si>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</si>
  <si>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</si>
  <si>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</si>
  <si>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</si>
  <si>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</si>
  <si>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</si>
  <si>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</si>
  <si>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</si>
  <si>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</si>
  <si>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</si>
  <si>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</si>
  <si>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</si>
  <si>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</si>
  <si>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</si>
  <si>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</si>
  <si>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</si>
  <si>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</si>
  <si>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</si>
  <si>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</si>
  <si>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</si>
  <si>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</si>
  <si>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</si>
  <si>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</si>
  <si>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</si>
  <si>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</si>
  <si>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</si>
  <si>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</si>
  <si>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</si>
  <si>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</si>
  <si>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</si>
  <si>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</si>
  <si>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</si>
  <si>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</si>
  <si>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</si>
  <si>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</si>
  <si>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</si>
  <si>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</si>
  <si>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</si>
  <si>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</si>
  <si>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</si>
  <si>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</si>
  <si>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</si>
  <si>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</si>
  <si>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</si>
  <si>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</si>
  <si>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</si>
  <si>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</si>
  <si>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</si>
  <si>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</si>
  <si>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</si>
  <si>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</si>
  <si>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</si>
  <si>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</si>
  <si>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</si>
  <si>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</si>
  <si>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</si>
  <si>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</si>
  <si>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</si>
  <si>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</si>
  <si>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</si>
  <si>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</si>
  <si>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</si>
  <si>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</si>
  <si>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</si>
  <si>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</si>
  <si>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</si>
  <si>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</si>
  <si>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</si>
  <si>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</si>
  <si>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</si>
  <si>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</si>
  <si>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</si>
  <si>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</si>
  <si>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</si>
  <si>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</si>
  <si>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</si>
  <si>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</si>
  <si>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</si>
  <si>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</si>
  <si>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</si>
  <si>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</si>
  <si>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</si>
  <si>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</si>
  <si>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</si>
  <si>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</si>
  <si>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</si>
  <si>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</si>
  <si>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</si>
  <si>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</si>
  <si>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</si>
  <si>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</si>
  <si>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</si>
  <si>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</si>
  <si>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</si>
  <si>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</si>
  <si>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</si>
  <si>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</si>
  <si>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</si>
  <si>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</si>
  <si>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</si>
  <si>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</si>
  <si>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</si>
  <si>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</si>
  <si>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</si>
  <si>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</si>
  <si>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</si>
  <si>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</si>
  <si>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</si>
  <si>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</si>
  <si>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</si>
  <si>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</si>
  <si>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</si>
  <si>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</si>
  <si>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</si>
  <si>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</si>
  <si>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</si>
  <si>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</si>
  <si>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</si>
  <si>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</si>
  <si>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</si>
  <si>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</si>
  <si>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</si>
  <si>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</si>
  <si>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</si>
  <si>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</si>
  <si>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</si>
  <si>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</si>
  <si>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</si>
  <si>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</si>
  <si>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</si>
  <si>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</si>
  <si>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</si>
  <si>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</si>
  <si>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</si>
  <si>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</si>
  <si>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</si>
  <si>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</si>
  <si>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</si>
  <si>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</si>
  <si>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</si>
  <si>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</si>
  <si>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</si>
  <si>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</si>
  <si>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</si>
  <si>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</si>
  <si>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</si>
  <si>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</si>
  <si>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</si>
  <si>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</si>
  <si>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</si>
  <si>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</si>
  <si>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</si>
  <si>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</si>
  <si>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</si>
  <si>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</si>
  <si>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</si>
  <si>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</si>
  <si>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</si>
  <si>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</si>
  <si>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</si>
  <si>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</si>
  <si>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</si>
  <si>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</si>
  <si>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</si>
  <si>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</si>
  <si>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</si>
  <si>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</si>
  <si>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</si>
  <si>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</si>
  <si>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</si>
  <si>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</si>
  <si>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</si>
  <si>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</si>
  <si>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</si>
  <si>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</si>
  <si>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</si>
  <si>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</si>
  <si>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</si>
  <si>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</si>
  <si>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</si>
  <si>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</si>
  <si>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</si>
  <si>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</si>
  <si>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</si>
  <si>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</si>
  <si>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</si>
  <si>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</si>
  <si>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</si>
  <si>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</si>
  <si>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</si>
  <si>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</si>
  <si>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</si>
  <si>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</si>
  <si>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</si>
  <si>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</si>
  <si>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</si>
  <si>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</si>
  <si>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</si>
  <si>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</si>
  <si>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</si>
  <si>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</si>
  <si>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</si>
  <si>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</si>
  <si>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</si>
  <si>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</si>
  <si>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</si>
  <si>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</si>
  <si>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</si>
  <si>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</si>
  <si>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</si>
  <si>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</si>
  <si>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</si>
  <si>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</si>
  <si>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</si>
  <si>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</si>
  <si>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</si>
  <si>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</si>
  <si>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</si>
  <si>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</si>
  <si>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</si>
  <si>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</si>
  <si>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</si>
  <si>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</si>
  <si>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</si>
  <si>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</si>
  <si>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</si>
  <si>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</si>
  <si>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</si>
  <si>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</si>
  <si>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</si>
  <si>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</si>
  <si>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</si>
  <si>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</si>
  <si>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</si>
  <si>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</si>
  <si>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</si>
  <si>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</si>
  <si>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</si>
  <si>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</si>
  <si>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</si>
  <si>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</si>
  <si>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</si>
  <si>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</si>
  <si>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</si>
  <si>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</si>
  <si>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</si>
  <si>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</si>
  <si>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</si>
  <si>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</si>
  <si>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</si>
  <si>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</si>
  <si>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</si>
  <si>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</si>
  <si>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</si>
  <si>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</si>
  <si>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</si>
  <si>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</si>
  <si>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</si>
  <si>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</si>
  <si>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</si>
  <si>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</si>
  <si>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</si>
  <si>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</si>
  <si>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</si>
  <si>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</si>
  <si>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</si>
  <si>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</si>
  <si>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</si>
  <si>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</si>
  <si>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</si>
  <si>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</si>
  <si>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</si>
  <si>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</si>
  <si>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</si>
  <si>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</si>
  <si>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</si>
  <si>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</si>
  <si>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</si>
  <si>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</si>
  <si>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</si>
  <si>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</si>
  <si>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</si>
  <si>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</si>
  <si>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</si>
  <si>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</si>
  <si>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</si>
  <si>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</si>
  <si>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</si>
  <si>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</si>
  <si>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</si>
  <si>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</si>
  <si>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</si>
  <si>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</si>
  <si>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</si>
  <si>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</si>
  <si>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</si>
  <si>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</si>
  <si>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</si>
  <si>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</si>
  <si>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</si>
  <si>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</si>
  <si>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</si>
  <si>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</si>
  <si>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</si>
  <si>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</si>
  <si>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</si>
  <si>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</si>
  <si>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</si>
  <si>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</si>
  <si>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</si>
  <si>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</si>
  <si>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</si>
  <si>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</si>
  <si>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</si>
  <si>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</si>
  <si>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</si>
  <si>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</si>
  <si>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</si>
  <si>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</si>
  <si>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</si>
  <si>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</si>
  <si>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</si>
  <si>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</si>
  <si>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</si>
  <si>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</si>
  <si>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</si>
  <si>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</si>
  <si>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</si>
  <si>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</si>
  <si>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</si>
  <si>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</si>
  <si>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</si>
  <si>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</si>
  <si>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</si>
  <si>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</si>
  <si>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</si>
  <si>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</si>
  <si>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</si>
  <si>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</si>
  <si>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</si>
  <si>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</si>
  <si>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</si>
  <si>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</si>
  <si>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</si>
  <si>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</si>
  <si>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</si>
  <si>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</si>
  <si>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</si>
  <si>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</si>
  <si>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</si>
  <si>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</si>
  <si>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</si>
  <si>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</si>
  <si>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</si>
  <si>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</si>
  <si>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</si>
  <si>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</si>
  <si>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</si>
  <si>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</si>
  <si>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</si>
  <si>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</si>
  <si>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</si>
  <si>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</si>
  <si>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</si>
  <si>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</si>
  <si>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</si>
  <si>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</si>
  <si>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</si>
  <si>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</si>
  <si>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</si>
  <si>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</si>
  <si>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</si>
  <si>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</si>
  <si>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</si>
  <si>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</si>
  <si>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</si>
  <si>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</si>
  <si>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</si>
  <si>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</si>
  <si>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</si>
  <si>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</si>
  <si>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</si>
  <si>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</si>
  <si>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</si>
  <si>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</si>
  <si>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</si>
  <si>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</si>
  <si>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</si>
  <si>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</si>
  <si>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</si>
  <si>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</si>
  <si>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</si>
  <si>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</si>
  <si>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</si>
  <si>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</si>
  <si>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</si>
  <si>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</si>
  <si>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</si>
  <si>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</si>
  <si>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</si>
  <si>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</si>
  <si>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</si>
  <si>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</si>
  <si>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</si>
  <si>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</si>
  <si>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</si>
  <si>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</si>
  <si>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</si>
  <si>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</si>
  <si>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</si>
  <si>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</si>
  <si>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</si>
  <si>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</si>
  <si>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</si>
  <si>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</si>
  <si>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</si>
  <si>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</si>
  <si>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</si>
  <si>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</si>
  <si>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</si>
  <si>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</si>
  <si>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</si>
  <si>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</si>
  <si>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</si>
  <si>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</si>
  <si>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</si>
  <si>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</si>
  <si>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</si>
  <si>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</si>
  <si>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</si>
  <si>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</si>
  <si>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</si>
  <si>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</si>
  <si>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</si>
  <si>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</si>
  <si>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</si>
  <si>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</si>
  <si>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</si>
  <si>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</si>
  <si>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</si>
  <si>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</si>
  <si>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</si>
  <si>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</si>
  <si>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</si>
  <si>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</si>
  <si>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</si>
  <si>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</si>
  <si>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</si>
  <si>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</si>
  <si>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</si>
  <si>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</si>
  <si>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</si>
  <si>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</si>
  <si>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</si>
  <si>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</si>
  <si>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</si>
  <si>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</si>
  <si>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</si>
  <si>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</si>
  <si>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</si>
  <si>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</si>
  <si>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</si>
  <si>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</si>
  <si>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</si>
  <si>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</si>
  <si>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</si>
  <si>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</si>
  <si>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</si>
  <si>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</si>
  <si>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</si>
  <si>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</si>
  <si>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</si>
  <si>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</si>
  <si>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</si>
  <si>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</si>
  <si>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</si>
  <si>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</si>
  <si>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</si>
  <si>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</si>
  <si>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</si>
  <si>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</si>
  <si>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</si>
  <si>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</si>
  <si>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</si>
  <si>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</si>
  <si>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</si>
  <si>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</si>
  <si>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</si>
  <si>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</si>
  <si>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</si>
  <si>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</si>
  <si>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</si>
  <si>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</si>
  <si>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</si>
  <si>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</si>
  <si>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</si>
  <si>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</si>
  <si>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</si>
  <si>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</si>
  <si>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</si>
  <si>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</si>
  <si>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</si>
  <si>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</si>
  <si>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</si>
  <si>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</si>
  <si>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</si>
  <si>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</si>
  <si>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</si>
  <si>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</si>
  <si>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</si>
  <si>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</si>
  <si>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</si>
  <si>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</si>
  <si>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</si>
  <si>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</si>
  <si>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</si>
  <si>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</si>
  <si>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</si>
  <si>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</si>
  <si>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</si>
  <si>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</si>
  <si>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</si>
  <si>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</si>
  <si>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</si>
  <si>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</si>
  <si>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</si>
  <si>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</si>
  <si>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</si>
  <si>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</si>
  <si>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</si>
  <si>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</si>
  <si>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</si>
  <si>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</si>
  <si>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</si>
  <si>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</si>
  <si>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</si>
  <si>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</si>
  <si>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</si>
  <si>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</si>
  <si>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</si>
  <si>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</si>
  <si>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</si>
  <si>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</si>
  <si>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</si>
  <si>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</si>
  <si>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</si>
  <si>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</si>
  <si>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</si>
  <si>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</si>
  <si>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</si>
  <si>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Cty TNHH Thương Mại DV Môi Trường Trà Vinh</t>
  </si>
  <si>
    <t>3412</t>
  </si>
  <si>
    <t>Vay dài hạn</t>
  </si>
  <si>
    <t>Vay ngắn hạn</t>
  </si>
  <si>
    <t>1122</t>
  </si>
  <si>
    <t xml:space="preserve"> Tiền Gữi Ngoại Tệ </t>
  </si>
  <si>
    <t>Q4</t>
  </si>
  <si>
    <t>0076266</t>
  </si>
  <si>
    <t>Thu gom rác thải 11/15 - 1/16</t>
  </si>
  <si>
    <t>VAT Thu gom rác thải 11/15 - 1/17</t>
  </si>
  <si>
    <t>Tiền nước tháng 2/2016</t>
  </si>
  <si>
    <t>0032690</t>
  </si>
  <si>
    <t>VAT Tiền nước tháng 2/2016</t>
  </si>
  <si>
    <t>Phí nộp thuế điện tử</t>
  </si>
  <si>
    <t>VAT Phí nộp thuế điện tử</t>
  </si>
  <si>
    <t>Keo nano, keo non</t>
  </si>
  <si>
    <t>0089877</t>
  </si>
  <si>
    <t>0032050</t>
  </si>
  <si>
    <t>Phí dịch vụ bảo vệ T2/2016</t>
  </si>
  <si>
    <t>0000266</t>
  </si>
  <si>
    <t>VAT Phí dịch vụ bảo vệ T2/2016</t>
  </si>
  <si>
    <t>VL/N01</t>
  </si>
  <si>
    <t>Túi PE 86*75</t>
  </si>
  <si>
    <t>0000757</t>
  </si>
  <si>
    <t>CN Công Ty TNHH Tân Hy Xí Nghiệp In &amp; Bao Bì Duy Nhật</t>
  </si>
  <si>
    <t>1522</t>
  </si>
  <si>
    <t>Túi PE 40*60</t>
  </si>
  <si>
    <t>VAT Túi PE</t>
  </si>
  <si>
    <t>0252860, 0252861, 0252862, 0252863</t>
  </si>
  <si>
    <t>0089890</t>
  </si>
  <si>
    <t>Ứng vốn</t>
  </si>
  <si>
    <t>Phí hạ tầng từ 15/9/15 đến 15/9/16</t>
  </si>
  <si>
    <t>Thanh toán tiền điện kỳ 2 tháng 2</t>
  </si>
  <si>
    <t>Thanh toán tiền VLXD</t>
  </si>
  <si>
    <t>Thu vốn mượn</t>
  </si>
  <si>
    <t>Dịch vụ thoát nước thải</t>
  </si>
  <si>
    <t>0076282</t>
  </si>
  <si>
    <t>VAT Dịch vụ thoát nước thải</t>
  </si>
  <si>
    <t>0094514</t>
  </si>
  <si>
    <t>Quỹ Quốc Phòng An Ninh</t>
  </si>
  <si>
    <t>0201226</t>
  </si>
  <si>
    <t>UBND Tỉnh Trà Vinh</t>
  </si>
  <si>
    <t>Thiết bị</t>
  </si>
  <si>
    <t>0000931</t>
  </si>
  <si>
    <t>DNTN Sung Dần</t>
  </si>
  <si>
    <t>VAT Thiết bị</t>
  </si>
  <si>
    <t>0076281</t>
  </si>
  <si>
    <t>VAT Phí hạ tầng từ 15/9/15 đến 15/9/16</t>
  </si>
  <si>
    <t>Tiền điện kỳ 1 T2/2016</t>
  </si>
  <si>
    <t>0031182</t>
  </si>
  <si>
    <t>VAT Tiền điện kỳ 1 T2/2016</t>
  </si>
  <si>
    <t>Tiền điện kỳ 2 T2/2016</t>
  </si>
  <si>
    <t>0058684</t>
  </si>
  <si>
    <t>VAT Tiền điện kỳ 2 T2/2016</t>
  </si>
  <si>
    <t>Dịch vụ thông báo số dư 0903 921 945 VNĐ</t>
  </si>
  <si>
    <t>VAT Dịch vụ thông báo số dư</t>
  </si>
  <si>
    <t>Dịch vụ thông báo số dư 0982 911 262 VNĐ</t>
  </si>
  <si>
    <t>Lãi TG</t>
  </si>
  <si>
    <t>Thanh toán tiền điện kỳ 1 tháng 3</t>
  </si>
  <si>
    <t>Tiền điện kỳ 1 T3/2016</t>
  </si>
  <si>
    <t>0070838</t>
  </si>
  <si>
    <t>VAT Tiền điện kỳ 1 T3/2016</t>
  </si>
  <si>
    <t>Tiền điện kỳ 2 T3/2016</t>
  </si>
  <si>
    <t>VAT Tiền điện kỳ 2 T3/2016</t>
  </si>
  <si>
    <t>Lần một HĐKT: 1606/HĐKT/M&amp;E/2015</t>
  </si>
  <si>
    <t>0000418</t>
  </si>
  <si>
    <t>VAT Lần một HĐKT: 1606/HĐKT/M&amp;E/2015</t>
  </si>
  <si>
    <t>1521</t>
  </si>
  <si>
    <t xml:space="preserve"> Nguyên Vật Liệu Chính </t>
  </si>
  <si>
    <t xml:space="preserve"> Nguyên Vật Liệu Phụ </t>
  </si>
  <si>
    <t>152</t>
  </si>
  <si>
    <t xml:space="preserve"> Nguyên liệu, Vật liệu </t>
  </si>
  <si>
    <t>- Cộng số phát sinh:</t>
  </si>
  <si>
    <t>Thiết bị xưởng</t>
  </si>
  <si>
    <t>0095660</t>
  </si>
  <si>
    <t>Kiếng mê ca</t>
  </si>
  <si>
    <t>0076540</t>
  </si>
  <si>
    <t>Tiệm tủ Hiệp Thành 2</t>
  </si>
  <si>
    <t>Tiền nước tháng 3/2016</t>
  </si>
  <si>
    <t>0092762</t>
  </si>
  <si>
    <t>VAT Tiền nước tháng 3/2016</t>
  </si>
  <si>
    <t>Sơn 79A &amp; A901</t>
  </si>
  <si>
    <t>0000428</t>
  </si>
  <si>
    <t>Cty TNHH Sơn Bá Thành</t>
  </si>
  <si>
    <t>VAT Sơn 79A &amp; A901</t>
  </si>
  <si>
    <t>Bồn 1000L</t>
  </si>
  <si>
    <t>0003489</t>
  </si>
  <si>
    <t>Cty TNHH MTV PT TM VLXD Phương Anh</t>
  </si>
  <si>
    <t>VAT Bồn 1000L</t>
  </si>
  <si>
    <t>Cầu C504 VTNT</t>
  </si>
  <si>
    <t>0003495</t>
  </si>
  <si>
    <t>VAT Cầu C504 VTNT</t>
  </si>
  <si>
    <t>Sơn ngoại thất</t>
  </si>
  <si>
    <t>0002355</t>
  </si>
  <si>
    <t>Cty TNHH SX-TM-DV Đại Hồng Ân</t>
  </si>
  <si>
    <t>VAT Sơn ngoại thất</t>
  </si>
  <si>
    <t>Sơn nội thất</t>
  </si>
  <si>
    <t>0002358</t>
  </si>
  <si>
    <t>VAT Sơn nội thất</t>
  </si>
  <si>
    <t>Cty TNHH Một Thành Viên Lang Bảo Anh</t>
  </si>
  <si>
    <t>Vật dụng phòng khách</t>
  </si>
  <si>
    <t>0593472</t>
  </si>
  <si>
    <t>Cty Cổ Phần Thương Mại Nguyễn Kim</t>
  </si>
  <si>
    <t>VAT Vật dụng phòng khách</t>
  </si>
  <si>
    <t>0095662</t>
  </si>
  <si>
    <t>Phí giao thông - Quý I / 2016</t>
  </si>
  <si>
    <t>VAT Phí giao thông - Quý I / 2016</t>
  </si>
  <si>
    <t>0095663</t>
  </si>
  <si>
    <t>Phí dịch vụ bảo vệ T3/2016</t>
  </si>
  <si>
    <t>0000300</t>
  </si>
  <si>
    <t>VAT Phí dịch vụ bảo vệ T3/2016</t>
  </si>
  <si>
    <t>0002275</t>
  </si>
  <si>
    <t>Cty TNHH SX DV Khắc Dấu Tiến Dũng</t>
  </si>
  <si>
    <t>VAT Phí khắc dấu</t>
  </si>
  <si>
    <t>0095668</t>
  </si>
  <si>
    <t>Túi PA Trắng (18x28)</t>
  </si>
  <si>
    <t>0001664</t>
  </si>
  <si>
    <t>Túi PA Trắng (18x32)</t>
  </si>
  <si>
    <t>VAT túi PA</t>
  </si>
  <si>
    <t>Phí công đoàn</t>
  </si>
  <si>
    <t>0065632</t>
  </si>
  <si>
    <t>Đăng Vũ Thụy</t>
  </si>
  <si>
    <t>Lưới 1,8m</t>
  </si>
  <si>
    <t>0034637</t>
  </si>
  <si>
    <t>VLXD Tư Hiền</t>
  </si>
  <si>
    <t>Cước điện thoại + Internet T3/2016</t>
  </si>
  <si>
    <t>0053002; 03; 04; 05</t>
  </si>
  <si>
    <t>VAT Cước điện thoại + Internet T3/2016</t>
  </si>
  <si>
    <t>0080251</t>
  </si>
  <si>
    <t>0033553</t>
  </si>
  <si>
    <t>Tiền nước tháng 4/2016</t>
  </si>
  <si>
    <t>0118861</t>
  </si>
  <si>
    <t>VAT Tiền nước tháng 4/2016</t>
  </si>
  <si>
    <t>0066080</t>
  </si>
  <si>
    <t>Quách Tấn Phúc</t>
  </si>
  <si>
    <t>0031934</t>
  </si>
  <si>
    <t>Thanh toán tiền điện kỳ 2 tháng 3</t>
  </si>
  <si>
    <t>Thanh toán tiền điện kỳ 1&amp;2 tháng 4</t>
  </si>
  <si>
    <t>Phí dịch vụ bảo vệ T4/2016</t>
  </si>
  <si>
    <t>0000327</t>
  </si>
  <si>
    <t>VAT Phí dịch vụ bảo vệ T4/2016</t>
  </si>
  <si>
    <t>Dụng cụ thử nghiêm</t>
  </si>
  <si>
    <t>0004371</t>
  </si>
  <si>
    <t>Cty TNHH Bách Khoa</t>
  </si>
  <si>
    <t>VAT Dụng cụ thử nghiêm</t>
  </si>
  <si>
    <t>0029639</t>
  </si>
  <si>
    <t>Cước điện thoại + Internet T4/2016</t>
  </si>
  <si>
    <t>0117880; 79; 78; 77</t>
  </si>
  <si>
    <t>VAT Cước điện thoại + Internet T4/2016</t>
  </si>
  <si>
    <t>0029642</t>
  </si>
  <si>
    <t>0056554</t>
  </si>
  <si>
    <t>Clorin tẩy rửa xưởng</t>
  </si>
  <si>
    <t>0000429</t>
  </si>
  <si>
    <t>Cty TNHH TM DV Hải Trung Anh</t>
  </si>
  <si>
    <t>VAT Clorin tẩy rửa xưởng</t>
  </si>
  <si>
    <t>Tiền nước tháng 5/2016</t>
  </si>
  <si>
    <t>0162348</t>
  </si>
  <si>
    <t>VAT Tiền nước tháng 5/2016</t>
  </si>
  <si>
    <t>Trồng cây xanh</t>
  </si>
  <si>
    <t>0000013</t>
  </si>
  <si>
    <t>Cty CP Công Trình Đô Thị Trà Vinh</t>
  </si>
  <si>
    <t>VAT Trồng cây xanh</t>
  </si>
  <si>
    <t>0056573</t>
  </si>
  <si>
    <t>Lê Thị Hường</t>
  </si>
  <si>
    <t>0080277</t>
  </si>
  <si>
    <t>Hóa đơn GTGT, Phiếu NK kiêm VCNB</t>
  </si>
  <si>
    <t>0000200</t>
  </si>
  <si>
    <t>Cty TNHH Truyền Thông và In Ấn Nhật Mai</t>
  </si>
  <si>
    <t>VAT Hóa đơn GTGT, Phiếu NK kiêm VCNB</t>
  </si>
  <si>
    <t>Thanh toán tiền điện kỳ 1&amp;2 tháng 5</t>
  </si>
  <si>
    <t>0056587; 0056589</t>
  </si>
  <si>
    <t>Phí dịch vụ bảo vệ T5/2016</t>
  </si>
  <si>
    <t>0000352</t>
  </si>
  <si>
    <t>VAT Phí dịch vụ bảo vệ T5/2016</t>
  </si>
  <si>
    <t>Cước điện thoại + Internet T5/2016</t>
  </si>
  <si>
    <t>0192668;69;70;71</t>
  </si>
  <si>
    <t>VAT Cước điện thoại + Internet T5/2016</t>
  </si>
  <si>
    <t>0192668;69;70;72</t>
  </si>
  <si>
    <t>Mua ngoại tệ trả nợ vay</t>
  </si>
  <si>
    <t>Thu vốn vay</t>
  </si>
  <si>
    <t>Chênh lệch tỷ giá vay</t>
  </si>
  <si>
    <t>Lãi vay tất toán</t>
  </si>
  <si>
    <t>Vay vốn NH</t>
  </si>
  <si>
    <t>KU 1402LDS201601247</t>
  </si>
  <si>
    <t>Hoàn vốn mượn</t>
  </si>
  <si>
    <t>0000048</t>
  </si>
  <si>
    <t>Đóng trần, cửa nhôm, cửa kính HĐ số:14/HĐKT.15 &amp; PLHĐ/PH-AL</t>
  </si>
  <si>
    <t>0000253</t>
  </si>
  <si>
    <t>VAT Đóng trần, cửa nhôm, cửa kính HĐ số:14/HĐKT.15 &amp; PLHĐ/PH-AL</t>
  </si>
  <si>
    <t>Vật tư thi công HĐ:15/07/2015/HĐKT</t>
  </si>
  <si>
    <t>0000009</t>
  </si>
  <si>
    <t>VAT Vật tư thi công HĐ:15/07/2015/HĐKT</t>
  </si>
  <si>
    <t>Tiền điện kỳ 1 T4/2016</t>
  </si>
  <si>
    <t>0100343</t>
  </si>
  <si>
    <t>VAT Tiền điện kỳ 1 T4/2016</t>
  </si>
  <si>
    <t>Tiền điện kỳ 2 T4/2016</t>
  </si>
  <si>
    <t>0117699</t>
  </si>
  <si>
    <t>VAT Tiền điện kỳ 2 T4/2016</t>
  </si>
  <si>
    <t>Tiền điện kỳ 1 T5/2016</t>
  </si>
  <si>
    <t>0129942</t>
  </si>
  <si>
    <t>VAT Tiền điện kỳ 1 T5/2016</t>
  </si>
  <si>
    <t>Tiền điện kỳ 2 T5/2016</t>
  </si>
  <si>
    <t>0147365</t>
  </si>
  <si>
    <t>VAT Tiền điện kỳ 2 T5/2016</t>
  </si>
  <si>
    <t>Hoàn thuế GTGT</t>
  </si>
  <si>
    <t>Phí giao thông - Quý II / 2016</t>
  </si>
  <si>
    <t>VAT Phí giao thông - Quý II / 2016</t>
  </si>
  <si>
    <t>1332</t>
  </si>
  <si>
    <t>VAT Tiền xử lý nước thải</t>
  </si>
  <si>
    <t>Tiền điện kỳ 1 T6/2016</t>
  </si>
  <si>
    <t>0159472</t>
  </si>
  <si>
    <t>VAT Tiền điện kỳ 1 T6/2016</t>
  </si>
  <si>
    <t>Hoàn vốn</t>
  </si>
  <si>
    <t>Đồng hồ nước</t>
  </si>
  <si>
    <t>0074757</t>
  </si>
  <si>
    <t>Cối đá</t>
  </si>
  <si>
    <t>0074758</t>
  </si>
  <si>
    <t>Khởi động từ</t>
  </si>
  <si>
    <t>0074146</t>
  </si>
  <si>
    <t>Rút tiền mặt</t>
  </si>
  <si>
    <t>Tiền điện kỳ 2 T6/2016</t>
  </si>
  <si>
    <t>0177138</t>
  </si>
  <si>
    <t>VAT Tiền điện kỳ 2 T6/2016</t>
  </si>
  <si>
    <t>Tiền nước tháng 6/2016</t>
  </si>
  <si>
    <t>0192565</t>
  </si>
  <si>
    <t>VAT Tiền nước tháng 6/2016</t>
  </si>
  <si>
    <t>Hoàn trả vốn mượn</t>
  </si>
  <si>
    <t>Phí thuê đất từ 08/03/16 đến 31/12/16</t>
  </si>
  <si>
    <t>Nộp tiển mặt vào tài khoản</t>
  </si>
  <si>
    <t>Thanh toán tiền điện kỳ 1&amp;2 tháng 6</t>
  </si>
  <si>
    <t>Tiền điện kỳ 1 T7/2016</t>
  </si>
  <si>
    <t>0188505</t>
  </si>
  <si>
    <t>VAT Tiền điện kỳ 1 T7/2016</t>
  </si>
  <si>
    <t>Tiền điện kỳ 2 T7/2016</t>
  </si>
  <si>
    <t>0206945</t>
  </si>
  <si>
    <t>VAT Tiền điện kỳ 2 T7/2016</t>
  </si>
  <si>
    <t>Khay nhôm</t>
  </si>
  <si>
    <t>0000370</t>
  </si>
  <si>
    <t>Cty TNHH Nguyễn Tâm</t>
  </si>
  <si>
    <t>VAT Khay nhôm</t>
  </si>
  <si>
    <t>0000371</t>
  </si>
  <si>
    <t>0080396</t>
  </si>
  <si>
    <t>0074785</t>
  </si>
  <si>
    <t>Phí dịch vụ bảo vệ T6/2016</t>
  </si>
  <si>
    <t>VAT Phí dịch vụ bảo vệ T6/2016</t>
  </si>
  <si>
    <t>0074790</t>
  </si>
  <si>
    <t>Hợp đồng đo vẽ hiện trạng</t>
  </si>
  <si>
    <t>0070904</t>
  </si>
  <si>
    <t>Cty CP Tư Vấn Xây Dựng Minh Hòa</t>
  </si>
  <si>
    <t>Tiền thuê quyền SDĐ 8/3/16 đến 31/12/16</t>
  </si>
  <si>
    <t>0082706</t>
  </si>
  <si>
    <t>VAT Tiền thuê quyền SDĐ 8/3/16 đến 31/12/17</t>
  </si>
  <si>
    <t>Thử nghiệm mẫu không khí nước thải</t>
  </si>
  <si>
    <t>0081266</t>
  </si>
  <si>
    <t>TT KT Tài Nguyên &amp; Môi Trường</t>
  </si>
  <si>
    <t>VAT Thử nghiệm mẫu không khí nước thải</t>
  </si>
  <si>
    <t>0074795</t>
  </si>
  <si>
    <t>0074794</t>
  </si>
  <si>
    <t>Thu thanh toán bảng chiết tính kinh phí</t>
  </si>
  <si>
    <t>0007527</t>
  </si>
  <si>
    <t>Văn Phòng Đăng Ký Đất Đai</t>
  </si>
  <si>
    <t>VAT Thu thanh toán bảng chiết tính kinh phí</t>
  </si>
  <si>
    <t>0007528</t>
  </si>
  <si>
    <t>0002889</t>
  </si>
  <si>
    <t>0002890</t>
  </si>
  <si>
    <t>0002886</t>
  </si>
  <si>
    <t>0002887</t>
  </si>
  <si>
    <t>0002891</t>
  </si>
  <si>
    <t>Phí dịch vụ internet banking</t>
  </si>
  <si>
    <t>VAT Phí dịch vụ internet banking</t>
  </si>
  <si>
    <t>Tạm ứng đợt 2</t>
  </si>
  <si>
    <t>Thanh toán tiền khảo sát công trình</t>
  </si>
  <si>
    <t>Hủy bút toán chuyển sai tiền</t>
  </si>
  <si>
    <t>Thanh toán tiền điện T7/2016</t>
  </si>
  <si>
    <t>Thanh toán tiền bao bì</t>
  </si>
  <si>
    <t>Thanh toán tiền clorine dioxide</t>
  </si>
  <si>
    <t>Thanh toán tiền mica bảng hiệu</t>
  </si>
  <si>
    <t>Thanh toán tiền cây xanh &amp; 50% hợp đồng vận chuyển rác</t>
  </si>
  <si>
    <t>Công trình hàng rào, cải tạo công ty</t>
  </si>
  <si>
    <t>0000077</t>
  </si>
  <si>
    <t>VAT Công trình hàng rào, cải tạo công ty</t>
  </si>
  <si>
    <t>0238477</t>
  </si>
  <si>
    <t>Bảng mica băng ron</t>
  </si>
  <si>
    <t>0000003</t>
  </si>
  <si>
    <t>VAT Bảng mica băng ron</t>
  </si>
  <si>
    <t>0085293</t>
  </si>
  <si>
    <t>Phí dịch vụ bảo vệ T7/2016</t>
  </si>
  <si>
    <t>VAT Phí dịch vụ bảo vệ T7/2016</t>
  </si>
  <si>
    <t>0000641</t>
  </si>
  <si>
    <t>0095065</t>
  </si>
  <si>
    <t>Quang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</si>
</sst>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  <font>
      <b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86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2" xfId="0" applyFont="1" applyBorder="1" applyAlignment="1">
      <alignment horizontal="center" vertical="center" wrapText="1"/>
    </xf>
    <xf numFmtId="49" fontId="53" fillId="0" borderId="21" xfId="76" applyNumberFormat="1" applyFont="1" applyFill="1" applyBorder="1" applyAlignment="1">
      <alignment horizontal="left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1" xfId="77" applyNumberFormat="1" applyFont="1" applyFill="1" applyBorder="1" applyAlignment="1">
      <alignment horizontal="center" vertical="center"/>
    </xf>
    <xf numFmtId="14" fontId="35" fillId="0" borderId="21" xfId="76" applyNumberFormat="1" applyFont="1" applyFill="1" applyBorder="1" applyAlignment="1">
      <alignment horizontal="center" vertical="center"/>
    </xf>
    <xf numFmtId="164" fontId="35" fillId="0" borderId="21" xfId="76" applyNumberFormat="1" applyFont="1" applyFill="1" applyBorder="1" applyAlignment="1">
      <alignment horizontal="left" vertical="center"/>
    </xf>
    <xf numFmtId="164" fontId="35" fillId="0" borderId="21" xfId="76" applyNumberFormat="1" applyFont="1" applyFill="1" applyBorder="1" applyAlignment="1">
      <alignment horizontal="center" vertical="center"/>
    </xf>
    <xf numFmtId="49" fontId="35" fillId="0" borderId="21" xfId="76" applyNumberFormat="1" applyFont="1" applyFill="1" applyBorder="1" applyAlignment="1">
      <alignment horizontal="left" vertical="center"/>
    </xf>
    <xf numFmtId="164" fontId="35" fillId="0" borderId="21" xfId="77" applyNumberFormat="1" applyFont="1" applyFill="1" applyBorder="1" applyAlignment="1">
      <alignment vertical="center"/>
    </xf>
    <xf numFmtId="0" fontId="35" fillId="0" borderId="21" xfId="76" quotePrefix="1" applyNumberFormat="1" applyFont="1" applyFill="1" applyBorder="1" applyAlignment="1">
      <alignment horizontal="center" vertical="center"/>
    </xf>
    <xf numFmtId="0" fontId="54" fillId="0" borderId="21" xfId="76" quotePrefix="1" applyNumberFormat="1" applyFont="1" applyFill="1" applyBorder="1" applyAlignment="1">
      <alignment horizontal="center" vertical="center"/>
    </xf>
    <xf numFmtId="49" fontId="65" fillId="0" borderId="2" xfId="0" applyNumberFormat="1" applyFont="1" applyBorder="1" applyAlignment="1"/>
    <xf numFmtId="164" fontId="40" fillId="0" borderId="2" xfId="29" applyNumberFormat="1" applyFont="1" applyBorder="1"/>
    <xf numFmtId="0" fontId="65" fillId="0" borderId="2" xfId="0" applyFont="1" applyBorder="1"/>
    <xf numFmtId="0" fontId="65" fillId="0" borderId="0" xfId="0" applyFont="1"/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0" borderId="26" xfId="0" quotePrefix="1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25" xfId="29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2" sqref="A22:XFD22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16000000000</v>
      </c>
      <c r="F10" s="51">
        <f t="array" ref="F10">SUM(IF(A10=KHC,TH))</f>
        <v>15296598941</v>
      </c>
      <c r="G10" s="52">
        <f>MAX(C10+E10-D10-F10,0)</f>
        <v>703401059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16000000000</v>
      </c>
      <c r="F11" s="56">
        <f>F10</f>
        <v>15296598941</v>
      </c>
      <c r="G11" s="56">
        <f>G10</f>
        <v>703401059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40817315735</v>
      </c>
      <c r="F12" s="51">
        <f t="array" ref="F12">SUM(IF(A12=KHC,TH))</f>
        <v>40425024918</v>
      </c>
      <c r="G12" s="52">
        <f>MAX(C12+E12-D12-F12,0)</f>
        <v>392290817</v>
      </c>
      <c r="H12" s="52">
        <f>MAX(D12+F12-E12-C12,0)</f>
        <v>0</v>
      </c>
      <c r="K12" s="53"/>
      <c r="L12" s="53"/>
    </row>
    <row r="13" spans="1:12" s="40" customFormat="1">
      <c r="A13" s="57" t="s">
        <v>1240</v>
      </c>
      <c r="B13" s="50" t="s">
        <v>1241</v>
      </c>
      <c r="C13" s="51"/>
      <c r="D13" s="51"/>
      <c r="E13" s="51">
        <f t="array" ref="E13">SUM(IF(A13=KHN,TH))</f>
        <v>1962840000</v>
      </c>
      <c r="F13" s="51">
        <f t="array" ref="F13">SUM(IF(A13=KHC,TH))</f>
        <v>1962840000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42780155735</v>
      </c>
      <c r="F14" s="56">
        <f t="shared" ref="F14:H14" si="0">F12+F13</f>
        <v>42387864918</v>
      </c>
      <c r="G14" s="56">
        <f t="shared" si="0"/>
        <v>392290817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2258384083</v>
      </c>
      <c r="F15" s="51">
        <f t="array" ref="F15">SUM(IF(A15=KHC,TH))</f>
        <v>1678844208</v>
      </c>
      <c r="G15" s="52">
        <f>MAX(C15+E15-D15-F15,0)</f>
        <v>579539875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2258384083</v>
      </c>
      <c r="F16" s="56">
        <f>F15</f>
        <v>1678844208</v>
      </c>
      <c r="G16" s="56">
        <f>G15</f>
        <v>579539875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3279477516</v>
      </c>
      <c r="F17" s="51">
        <f t="array" ref="F17">SUM(IF(A17=KHC,TH))</f>
        <v>3279477516</v>
      </c>
      <c r="G17" s="52">
        <f t="shared" ref="G17:G26" si="1">MAX(C17+E17-D17-F17,0)</f>
        <v>0</v>
      </c>
      <c r="H17" s="52">
        <f t="shared" ref="H17:H26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3279477516</v>
      </c>
      <c r="F18" s="56">
        <f>F17</f>
        <v>3279477516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1303</v>
      </c>
      <c r="B19" s="50" t="s">
        <v>1304</v>
      </c>
      <c r="C19" s="51"/>
      <c r="D19" s="51">
        <v>0</v>
      </c>
      <c r="E19" s="51">
        <f t="array" ref="E19">SUM(IF(A19=KHN,TH))</f>
        <v>0</v>
      </c>
      <c r="F19" s="51">
        <f t="array" ref="F19">SUM(IF(A19=KHC,TH))</f>
        <v>0</v>
      </c>
      <c r="G19" s="52">
        <f t="shared" si="1"/>
        <v>0</v>
      </c>
      <c r="H19" s="52">
        <f t="shared" si="2"/>
        <v>0</v>
      </c>
    </row>
    <row r="20" spans="1:11" s="40" customFormat="1">
      <c r="A20" s="57" t="s">
        <v>1261</v>
      </c>
      <c r="B20" s="50" t="s">
        <v>1305</v>
      </c>
      <c r="C20" s="51"/>
      <c r="D20" s="51">
        <v>0</v>
      </c>
      <c r="E20" s="51">
        <f t="array" ref="E20">SUM(IF(A20=KHN,TH))</f>
        <v>37200000</v>
      </c>
      <c r="F20" s="51">
        <f t="array" ref="F20">SUM(IF(A20=KHC,TH))</f>
        <v>0</v>
      </c>
      <c r="G20" s="51">
        <f t="shared" si="1"/>
        <v>37200000</v>
      </c>
      <c r="H20" s="51">
        <f t="shared" si="2"/>
        <v>0</v>
      </c>
    </row>
    <row r="21" spans="1:11" s="40" customFormat="1">
      <c r="A21" s="54" t="s">
        <v>1306</v>
      </c>
      <c r="B21" s="55" t="s">
        <v>1307</v>
      </c>
      <c r="C21" s="56"/>
      <c r="D21" s="56">
        <v>0</v>
      </c>
      <c r="E21" s="56">
        <f>E19+E20</f>
        <v>37200000</v>
      </c>
      <c r="F21" s="56">
        <f>F19+F20</f>
        <v>0</v>
      </c>
      <c r="G21" s="56">
        <f t="shared" si="1"/>
        <v>37200000</v>
      </c>
      <c r="H21" s="56">
        <f t="shared" si="2"/>
        <v>0</v>
      </c>
    </row>
    <row r="22" spans="1:11" s="40" customFormat="1">
      <c r="A22" s="57" t="s">
        <v>654</v>
      </c>
      <c r="B22" s="50" t="s">
        <v>655</v>
      </c>
      <c r="C22" s="51"/>
      <c r="D22" s="51"/>
      <c r="E22" s="51">
        <f t="array" ref="E22">SUM(IF(A22=KHN,TH))</f>
        <v>32067536665</v>
      </c>
      <c r="F22" s="51">
        <f t="array" ref="F22">SUM(IF(A22=KHC,TH))</f>
        <v>0</v>
      </c>
      <c r="G22" s="52">
        <f t="shared" si="1"/>
        <v>32067536665</v>
      </c>
      <c r="H22" s="52">
        <f t="shared" si="2"/>
        <v>0</v>
      </c>
      <c r="K22" s="53"/>
    </row>
    <row r="23" spans="1:11" s="40" customFormat="1">
      <c r="A23" s="54" t="s">
        <v>656</v>
      </c>
      <c r="B23" s="55" t="s">
        <v>657</v>
      </c>
      <c r="C23" s="56"/>
      <c r="D23" s="56"/>
      <c r="E23" s="56">
        <f>E22</f>
        <v>32067536665</v>
      </c>
      <c r="F23" s="56">
        <f>F22</f>
        <v>0</v>
      </c>
      <c r="G23" s="56">
        <f t="shared" si="1"/>
        <v>32067536665</v>
      </c>
      <c r="H23" s="56">
        <f t="shared" si="2"/>
        <v>0</v>
      </c>
      <c r="K23" s="53"/>
    </row>
    <row r="24" spans="1:11" s="40" customFormat="1">
      <c r="A24" s="54" t="s">
        <v>18</v>
      </c>
      <c r="B24" s="55" t="s">
        <v>216</v>
      </c>
      <c r="C24" s="56"/>
      <c r="D24" s="56"/>
      <c r="E24" s="139">
        <f t="array" ref="E24">SUM(IF(A24=KHN,TH))</f>
        <v>30300880164</v>
      </c>
      <c r="F24" s="139">
        <f t="array" ref="F24">SUM(IF(A24=KHC,TH))</f>
        <v>31979159547</v>
      </c>
      <c r="G24" s="56">
        <f t="shared" si="1"/>
        <v>0</v>
      </c>
      <c r="H24" s="56">
        <f t="shared" si="2"/>
        <v>1678279383</v>
      </c>
      <c r="K24" s="53"/>
    </row>
    <row r="25" spans="1:11" s="40" customFormat="1">
      <c r="A25" s="57" t="s">
        <v>217</v>
      </c>
      <c r="B25" s="50" t="s">
        <v>218</v>
      </c>
      <c r="C25" s="51"/>
      <c r="D25" s="51"/>
      <c r="E25" s="51">
        <f t="array" ref="E25">SUM(IF(A25=KHN,TH))</f>
        <v>0</v>
      </c>
      <c r="F25" s="51">
        <f t="array" ref="F25">SUM(IF(A25=KHC,TH))</f>
        <v>0</v>
      </c>
      <c r="G25" s="51">
        <f t="shared" si="1"/>
        <v>0</v>
      </c>
      <c r="H25" s="51">
        <f t="shared" si="2"/>
        <v>0</v>
      </c>
      <c r="I25" s="40">
        <f t="shared" ref="I25:I28" si="3">E25-F25</f>
        <v>0</v>
      </c>
    </row>
    <row r="26" spans="1:11" s="40" customFormat="1">
      <c r="A26" s="60" t="s">
        <v>219</v>
      </c>
      <c r="B26" s="61" t="s">
        <v>220</v>
      </c>
      <c r="C26" s="59"/>
      <c r="D26" s="59"/>
      <c r="E26" s="59">
        <f t="array" ref="E26">SUM(IF(A26=KHN,TH))</f>
        <v>12750000</v>
      </c>
      <c r="F26" s="59">
        <f t="array" ref="F26">SUM(IF(A26=KHC,TH))</f>
        <v>12750000</v>
      </c>
      <c r="G26" s="59">
        <f t="shared" si="1"/>
        <v>0</v>
      </c>
      <c r="H26" s="59">
        <f t="shared" si="2"/>
        <v>0</v>
      </c>
      <c r="I26" s="40">
        <f t="shared" si="3"/>
        <v>0</v>
      </c>
    </row>
    <row r="27" spans="1:11" s="40" customFormat="1">
      <c r="A27" s="57" t="s">
        <v>40</v>
      </c>
      <c r="B27" s="50" t="s">
        <v>221</v>
      </c>
      <c r="C27" s="51"/>
      <c r="D27" s="51"/>
      <c r="E27" s="51">
        <f>E26</f>
        <v>12750000</v>
      </c>
      <c r="F27" s="51">
        <f>F26</f>
        <v>12750000</v>
      </c>
      <c r="G27" s="51">
        <f>G26</f>
        <v>0</v>
      </c>
      <c r="H27" s="51">
        <f>H26</f>
        <v>0</v>
      </c>
      <c r="I27" s="40">
        <f t="shared" si="3"/>
        <v>0</v>
      </c>
    </row>
    <row r="28" spans="1:11" s="40" customFormat="1">
      <c r="A28" s="54" t="s">
        <v>222</v>
      </c>
      <c r="B28" s="55" t="s">
        <v>223</v>
      </c>
      <c r="C28" s="56"/>
      <c r="D28" s="56"/>
      <c r="E28" s="56">
        <f>E25+E27</f>
        <v>12750000</v>
      </c>
      <c r="F28" s="56">
        <f>F25+F27</f>
        <v>12750000</v>
      </c>
      <c r="G28" s="56">
        <f>G25+G27</f>
        <v>0</v>
      </c>
      <c r="H28" s="56">
        <f>H25+H27</f>
        <v>0</v>
      </c>
      <c r="I28" s="40">
        <f t="shared" si="3"/>
        <v>0</v>
      </c>
    </row>
    <row r="29" spans="1:11" s="40" customFormat="1">
      <c r="A29" s="57" t="s">
        <v>39</v>
      </c>
      <c r="B29" s="50" t="s">
        <v>224</v>
      </c>
      <c r="C29" s="51"/>
      <c r="D29" s="51"/>
      <c r="E29" s="51">
        <f t="array" ref="E29">SUM(IF(A29=KHN,TH))</f>
        <v>4117500000</v>
      </c>
      <c r="F29" s="51">
        <f t="array" ref="F29">SUM(IF(A29=KHC,TH))</f>
        <v>11117500000</v>
      </c>
      <c r="G29" s="51">
        <f>MAX(C29+E29-D29-F29,0)</f>
        <v>0</v>
      </c>
      <c r="H29" s="51">
        <f>MAX(D29+F29-E29-C29,0)</f>
        <v>7000000000</v>
      </c>
    </row>
    <row r="30" spans="1:11" s="40" customFormat="1">
      <c r="A30" s="54" t="s">
        <v>225</v>
      </c>
      <c r="B30" s="55" t="s">
        <v>226</v>
      </c>
      <c r="C30" s="56"/>
      <c r="D30" s="56"/>
      <c r="E30" s="56">
        <f>E29</f>
        <v>4117500000</v>
      </c>
      <c r="F30" s="56">
        <f>F29</f>
        <v>11117500000</v>
      </c>
      <c r="G30" s="56">
        <f>G29</f>
        <v>0</v>
      </c>
      <c r="H30" s="56">
        <f>H29</f>
        <v>7000000000</v>
      </c>
    </row>
    <row r="31" spans="1:11" s="40" customFormat="1">
      <c r="A31" s="49" t="s">
        <v>227</v>
      </c>
      <c r="B31" s="50" t="s">
        <v>1238</v>
      </c>
      <c r="C31" s="51"/>
      <c r="D31" s="51"/>
      <c r="E31" s="51">
        <f t="array" ref="E31">SUM(IF(A31=KHN,TH))</f>
        <v>0</v>
      </c>
      <c r="F31" s="51">
        <f t="array" ref="F31">SUM(IF(A31=KHC,TH))</f>
        <v>20000000000</v>
      </c>
      <c r="G31" s="52">
        <f>MAX(C31+E31-D31-F31,0)</f>
        <v>0</v>
      </c>
      <c r="H31" s="52">
        <f>MAX(D31+F31-E31-C31,0)</f>
        <v>20000000000</v>
      </c>
    </row>
    <row r="32" spans="1:11" s="40" customFormat="1">
      <c r="A32" s="49" t="s">
        <v>1237</v>
      </c>
      <c r="B32" s="50" t="s">
        <v>1239</v>
      </c>
      <c r="C32" s="51"/>
      <c r="D32" s="51"/>
      <c r="E32" s="51">
        <f t="array" ref="E32">SUM(IF(A32=KHN,TH))</f>
        <v>1982640000</v>
      </c>
      <c r="F32" s="51">
        <f t="array" ref="F32">SUM(IF(A32=KHC,TH))</f>
        <v>3944160000</v>
      </c>
      <c r="G32" s="52">
        <f>MAX(C32+E32-D32-F32,0)</f>
        <v>0</v>
      </c>
      <c r="H32" s="52">
        <f>MAX(D32+F32-E32-C32,0)</f>
        <v>1961520000</v>
      </c>
    </row>
    <row r="33" spans="1:9" s="40" customFormat="1">
      <c r="A33" s="58" t="s">
        <v>97</v>
      </c>
      <c r="B33" s="55" t="s">
        <v>228</v>
      </c>
      <c r="C33" s="56"/>
      <c r="D33" s="56"/>
      <c r="E33" s="56">
        <f>E31+E32</f>
        <v>1982640000</v>
      </c>
      <c r="F33" s="56">
        <f t="shared" ref="F33:H33" si="4">F31+F32</f>
        <v>23944160000</v>
      </c>
      <c r="G33" s="56">
        <f t="shared" si="4"/>
        <v>0</v>
      </c>
      <c r="H33" s="56">
        <f t="shared" si="4"/>
        <v>21961520000</v>
      </c>
    </row>
    <row r="34" spans="1:9" s="40" customFormat="1">
      <c r="A34" s="57" t="s">
        <v>55</v>
      </c>
      <c r="B34" s="50" t="s">
        <v>229</v>
      </c>
      <c r="C34" s="51"/>
      <c r="D34" s="51"/>
      <c r="E34" s="51">
        <f t="array" ref="E34">SUM(IF(A34=KHN,TH))</f>
        <v>0</v>
      </c>
      <c r="F34" s="51">
        <f t="array" ref="F34">SUM(IF(A34=KHC,TH))</f>
        <v>4000000000</v>
      </c>
      <c r="G34" s="52">
        <f>MAX(C34+E34-D34-F34,0)</f>
        <v>0</v>
      </c>
      <c r="H34" s="52">
        <f>MAX(D34+F34-E34-C34,0)</f>
        <v>4000000000</v>
      </c>
    </row>
    <row r="35" spans="1:9" s="40" customFormat="1">
      <c r="A35" s="54" t="s">
        <v>230</v>
      </c>
      <c r="B35" s="55" t="s">
        <v>231</v>
      </c>
      <c r="C35" s="56"/>
      <c r="D35" s="56"/>
      <c r="E35" s="56">
        <f>E34</f>
        <v>0</v>
      </c>
      <c r="F35" s="56">
        <f>F34</f>
        <v>4000000000</v>
      </c>
      <c r="G35" s="56">
        <f>MAX(C35+E35-D35-F35,0)</f>
        <v>0</v>
      </c>
      <c r="H35" s="56">
        <f>MAX(D35+F35-E35-C35,0)</f>
        <v>4000000000</v>
      </c>
    </row>
    <row r="36" spans="1:9" s="40" customFormat="1">
      <c r="A36" s="49" t="s">
        <v>232</v>
      </c>
      <c r="B36" s="50" t="s">
        <v>233</v>
      </c>
      <c r="C36" s="51"/>
      <c r="D36" s="51"/>
      <c r="E36" s="51">
        <f t="array" ref="E36">SUM(IF(A36=KHN,TH))</f>
        <v>0</v>
      </c>
      <c r="F36" s="51">
        <f t="array" ref="F36">SUM(IF(A36=KHC,TH))</f>
        <v>0</v>
      </c>
      <c r="G36" s="52">
        <f>MAX(C36+E36-D36-F36,0)</f>
        <v>0</v>
      </c>
      <c r="H36" s="52">
        <f>MAX(D36+F36-E36-C36,0)</f>
        <v>0</v>
      </c>
    </row>
    <row r="37" spans="1:9" s="40" customFormat="1">
      <c r="A37" s="57" t="s">
        <v>234</v>
      </c>
      <c r="B37" s="50" t="s">
        <v>235</v>
      </c>
      <c r="C37" s="51"/>
      <c r="D37" s="51"/>
      <c r="E37" s="51">
        <f t="array" ref="E37">SUM(IF(A37=TH!$N$10:$N$1825,TH!$M$10:$M$1825))</f>
        <v>1312445561</v>
      </c>
      <c r="F37" s="51">
        <f t="array" ref="F37">SUM(IF(A37=TH!$O$10:$O$1825,TH!$M$10:$M$1825))</f>
        <v>0</v>
      </c>
      <c r="G37" s="51">
        <f>MAX(C37+E37-D37-F37,0)</f>
        <v>1312445561</v>
      </c>
      <c r="H37" s="51">
        <f>MAX(D37+F37-E37-C37,0)</f>
        <v>0</v>
      </c>
    </row>
    <row r="38" spans="1:9" s="40" customFormat="1">
      <c r="A38" s="54" t="s">
        <v>236</v>
      </c>
      <c r="B38" s="55" t="s">
        <v>237</v>
      </c>
      <c r="C38" s="56"/>
      <c r="D38" s="56"/>
      <c r="E38" s="56">
        <f>E37+E36</f>
        <v>1312445561</v>
      </c>
      <c r="F38" s="56">
        <f>F37+F36</f>
        <v>0</v>
      </c>
      <c r="G38" s="56">
        <f>G37+G36</f>
        <v>1312445561</v>
      </c>
      <c r="H38" s="56">
        <f>H37+H36</f>
        <v>0</v>
      </c>
    </row>
    <row r="39" spans="1:9" s="40" customFormat="1">
      <c r="A39" s="54" t="s">
        <v>99</v>
      </c>
      <c r="B39" s="55" t="s">
        <v>238</v>
      </c>
      <c r="C39" s="56"/>
      <c r="D39" s="56"/>
      <c r="E39" s="139">
        <f t="array" ref="E39">SUM(IF(A39=KHN,TH))</f>
        <v>21778219</v>
      </c>
      <c r="F39" s="139">
        <f t="array" ref="F39">SUM(IF(A39=KHC,TH))</f>
        <v>21778219</v>
      </c>
      <c r="G39" s="56"/>
      <c r="H39" s="56"/>
      <c r="I39" s="40">
        <f t="shared" ref="I39:I45" si="5">E39-F39</f>
        <v>0</v>
      </c>
    </row>
    <row r="40" spans="1:9" s="40" customFormat="1" ht="12.75" customHeight="1">
      <c r="A40" s="54" t="s">
        <v>239</v>
      </c>
      <c r="B40" s="55" t="s">
        <v>240</v>
      </c>
      <c r="C40" s="56"/>
      <c r="D40" s="56"/>
      <c r="E40" s="139">
        <f t="array" ref="E40">SUM(IF(A40=KHN,TH))</f>
        <v>2696836981</v>
      </c>
      <c r="F40" s="139">
        <f t="array" ref="F40">SUM(IF(A40=KHC,TH))</f>
        <v>2696836981</v>
      </c>
      <c r="G40" s="56"/>
      <c r="H40" s="56"/>
      <c r="I40" s="40">
        <f t="shared" si="5"/>
        <v>0</v>
      </c>
    </row>
    <row r="41" spans="1:9" s="40" customFormat="1" ht="12.75" customHeight="1">
      <c r="A41" s="54" t="s">
        <v>241</v>
      </c>
      <c r="B41" s="55" t="s">
        <v>242</v>
      </c>
      <c r="C41" s="56"/>
      <c r="D41" s="56"/>
      <c r="E41" s="139">
        <f t="array" ref="E41">SUM(IF(A41=KHN,TH))</f>
        <v>1305203780</v>
      </c>
      <c r="F41" s="139">
        <f t="array" ref="F41">SUM(IF(A41=KHC,TH))</f>
        <v>1305203780</v>
      </c>
      <c r="G41" s="56"/>
      <c r="H41" s="56"/>
      <c r="I41" s="40">
        <f t="shared" si="5"/>
        <v>0</v>
      </c>
    </row>
    <row r="42" spans="1:9" s="40" customFormat="1" ht="12.75" customHeight="1">
      <c r="A42" s="58" t="s">
        <v>243</v>
      </c>
      <c r="B42" s="55" t="s">
        <v>244</v>
      </c>
      <c r="C42" s="56"/>
      <c r="D42" s="56"/>
      <c r="E42" s="139">
        <f t="array" ref="E42">SUM(IF(A42=KHN,TH))</f>
        <v>900000</v>
      </c>
      <c r="F42" s="139">
        <f t="array" ref="F42">SUM(IF(A42=KHC,TH))</f>
        <v>900000</v>
      </c>
      <c r="G42" s="56"/>
      <c r="H42" s="56"/>
      <c r="I42" s="40">
        <f t="shared" si="5"/>
        <v>0</v>
      </c>
    </row>
    <row r="43" spans="1:9" s="40" customFormat="1" ht="12.75" customHeight="1">
      <c r="A43" s="54" t="s">
        <v>245</v>
      </c>
      <c r="B43" s="55" t="s">
        <v>246</v>
      </c>
      <c r="C43" s="56"/>
      <c r="D43" s="56"/>
      <c r="E43" s="139">
        <f t="array" ref="E43">SUM(IF(A43=KHN,TH))</f>
        <v>29920000</v>
      </c>
      <c r="F43" s="139">
        <f t="array" ref="F43">SUM(IF(A43=KHC,TH))</f>
        <v>29920000</v>
      </c>
      <c r="G43" s="56"/>
      <c r="H43" s="56"/>
      <c r="I43" s="40">
        <f t="shared" si="5"/>
        <v>0</v>
      </c>
    </row>
    <row r="44" spans="1:9" s="40" customFormat="1" ht="12.75" customHeight="1">
      <c r="A44" s="58" t="s">
        <v>247</v>
      </c>
      <c r="B44" s="55" t="s">
        <v>248</v>
      </c>
      <c r="C44" s="56"/>
      <c r="D44" s="56"/>
      <c r="E44" s="139">
        <f t="array" ref="E44">SUM(IF(A44=KHN,TH))</f>
        <v>0</v>
      </c>
      <c r="F44" s="139">
        <f t="array" ref="F44">SUM(IF(A44=KHC,TH))</f>
        <v>0</v>
      </c>
      <c r="G44" s="56"/>
      <c r="H44" s="56"/>
      <c r="I44" s="40">
        <f t="shared" si="5"/>
        <v>0</v>
      </c>
    </row>
    <row r="45" spans="1:9" s="40" customFormat="1">
      <c r="A45" s="54" t="s">
        <v>249</v>
      </c>
      <c r="B45" s="55" t="s">
        <v>250</v>
      </c>
      <c r="C45" s="56"/>
      <c r="D45" s="56"/>
      <c r="E45" s="140">
        <f t="array" ref="E45">SUM(IF(A45=KHN,TH))</f>
        <v>1335123780</v>
      </c>
      <c r="F45" s="140">
        <f t="array" ref="F45">SUM(IF(A45=TH!$O$10:$O$1825,TH!$M$10:$M$1825))</f>
        <v>1335123780</v>
      </c>
      <c r="G45" s="56"/>
      <c r="H45" s="56"/>
      <c r="I45" s="40">
        <f t="shared" si="5"/>
        <v>0</v>
      </c>
    </row>
    <row r="46" spans="1:9" s="40" customFormat="1">
      <c r="A46" s="62" t="s">
        <v>251</v>
      </c>
      <c r="B46" s="62"/>
      <c r="C46" s="62">
        <f>C11+C14+C16+C18+C24+C28+C30+C33+C35+C38+C39+C40+C41+C42+C43+C44+C45+C23+C21</f>
        <v>0</v>
      </c>
      <c r="D46" s="62">
        <f t="shared" ref="D46:H46" si="6">D11+D14+D16+D18+D24+D28+D30+D33+D35+D38+D39+D40+D41+D42+D43+D44+D45+D23+D21</f>
        <v>0</v>
      </c>
      <c r="E46" s="62">
        <f t="shared" si="6"/>
        <v>139538732484</v>
      </c>
      <c r="F46" s="62">
        <f t="shared" si="6"/>
        <v>139086117890</v>
      </c>
      <c r="G46" s="62">
        <f t="shared" si="6"/>
        <v>35092413977</v>
      </c>
      <c r="H46" s="62">
        <f t="shared" si="6"/>
        <v>34639799383</v>
      </c>
    </row>
    <row r="47" spans="1:9">
      <c r="E47" s="63"/>
      <c r="F47" s="64"/>
    </row>
    <row r="48" spans="1:9">
      <c r="E48" s="64">
        <f>E46-F46</f>
        <v>452614594</v>
      </c>
      <c r="H48" s="64">
        <f>G46-H46</f>
        <v>452614594</v>
      </c>
    </row>
    <row r="49" spans="5:6">
      <c r="E49" s="65"/>
      <c r="F49" s="65"/>
    </row>
    <row r="50" spans="5:6">
      <c r="E50" s="65"/>
      <c r="F50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Q1830"/>
  <sheetViews>
    <sheetView topLeftCell="A7" workbookViewId="0">
      <pane ySplit="3" topLeftCell="A10" activePane="bottomLeft" state="frozen"/>
      <selection activeCell="A7" sqref="A7"/>
      <selection pane="bottomLeft" activeCell="M1382" sqref="M1381:M1382"/>
    </sheetView>
  </sheetViews>
  <sheetFormatPr defaultRowHeight="12.75"/>
  <cols>
    <col min="1" max="1" width="4.85546875" customWidth="1"/>
    <col min="2" max="2" width="4.85546875" hidden="1" customWidth="1"/>
    <col min="3" max="3" width="9.140625" customWidth="1"/>
    <col min="4" max="4" width="6.85546875" customWidth="1"/>
    <col min="5" max="5" width="9.140625" customWidth="1"/>
    <col min="6" max="6" width="50.140625" customWidth="1"/>
    <col min="7" max="7" width="12.28515625" style="254" customWidth="1"/>
    <col min="8" max="8" width="53.140625" style="241" customWidth="1"/>
    <col min="9" max="12" width="7.140625" style="241" hidden="1" customWidth="1"/>
    <col min="13" max="13" width="16.140625" customWidth="1"/>
    <col min="14" max="15" width="7" customWidth="1"/>
    <col min="16" max="16" width="4.42578125" hidden="1" customWidth="1"/>
  </cols>
  <sheetData>
    <row r="1" spans="1:16" hidden="1">
      <c r="A1" s="66"/>
      <c r="B1" s="66"/>
      <c r="C1" s="66" t="s">
        <v>262</v>
      </c>
      <c r="D1" s="67"/>
      <c r="E1" s="67"/>
      <c r="F1" s="68"/>
      <c r="G1" s="67"/>
      <c r="H1" s="239"/>
      <c r="I1" s="239"/>
      <c r="J1" s="239"/>
      <c r="K1" s="239"/>
      <c r="L1" s="239"/>
      <c r="M1" s="106"/>
      <c r="N1" s="69"/>
      <c r="O1" s="69"/>
      <c r="P1" s="69"/>
    </row>
    <row r="2" spans="1:16" hidden="1">
      <c r="A2" s="66"/>
      <c r="B2" s="66"/>
      <c r="C2" s="66" t="s">
        <v>263</v>
      </c>
      <c r="D2" s="67"/>
      <c r="E2" s="67"/>
      <c r="F2" s="67"/>
      <c r="G2" s="67"/>
      <c r="H2" s="240"/>
      <c r="I2" s="240"/>
      <c r="J2" s="240"/>
      <c r="K2" s="240"/>
      <c r="L2" s="240"/>
      <c r="M2" s="106"/>
      <c r="N2" s="69"/>
      <c r="O2" s="69"/>
      <c r="P2" s="69"/>
    </row>
    <row r="3" spans="1:16" hidden="1">
      <c r="A3" s="67"/>
      <c r="B3" s="67"/>
      <c r="C3" s="67"/>
      <c r="D3" s="67"/>
      <c r="E3" s="67"/>
      <c r="F3" s="67"/>
      <c r="G3" s="67"/>
      <c r="H3" s="240"/>
      <c r="I3" s="240"/>
      <c r="J3" s="240"/>
      <c r="K3" s="240"/>
      <c r="L3" s="240"/>
      <c r="M3" s="103"/>
      <c r="N3" s="70"/>
      <c r="O3" s="70"/>
      <c r="P3" s="70"/>
    </row>
    <row r="4" spans="1:16" ht="22.5" hidden="1">
      <c r="A4" s="106"/>
      <c r="B4" s="106"/>
      <c r="C4" s="467" t="s">
        <v>252</v>
      </c>
      <c r="D4" s="467"/>
      <c r="E4" s="467"/>
      <c r="F4" s="467"/>
      <c r="G4" s="467"/>
      <c r="H4" s="467"/>
      <c r="I4" s="467"/>
      <c r="J4" s="467"/>
      <c r="K4" s="467"/>
      <c r="L4" s="467"/>
      <c r="M4" s="467"/>
      <c r="N4" s="467"/>
      <c r="O4" s="467"/>
    </row>
    <row r="5" spans="1:16" ht="14.25" hidden="1">
      <c r="A5" s="106"/>
      <c r="B5" s="106"/>
      <c r="C5" s="468"/>
      <c r="D5" s="468"/>
      <c r="E5" s="468"/>
      <c r="F5" s="468"/>
      <c r="G5" s="468"/>
      <c r="H5" s="468"/>
      <c r="I5" s="468"/>
      <c r="J5" s="468"/>
      <c r="K5" s="468"/>
      <c r="L5" s="468"/>
      <c r="M5" s="468"/>
      <c r="N5" s="468"/>
      <c r="O5" s="468"/>
    </row>
    <row r="6" spans="1:16" hidden="1">
      <c r="A6" s="106"/>
      <c r="B6" s="106"/>
      <c r="C6" s="106"/>
      <c r="D6" s="106"/>
      <c r="E6" s="106"/>
      <c r="F6" s="106"/>
      <c r="G6" s="106"/>
      <c r="H6" s="115"/>
      <c r="I6" s="115"/>
      <c r="J6" s="115"/>
      <c r="K6" s="115"/>
      <c r="L6" s="115"/>
      <c r="M6" s="106"/>
      <c r="N6" s="69"/>
      <c r="O6" s="69"/>
      <c r="P6" s="69"/>
    </row>
    <row r="7" spans="1:16">
      <c r="A7" s="478" t="s">
        <v>264</v>
      </c>
      <c r="B7" s="478" t="s">
        <v>265</v>
      </c>
      <c r="C7" s="469" t="s">
        <v>50</v>
      </c>
      <c r="D7" s="470" t="s">
        <v>10</v>
      </c>
      <c r="E7" s="471"/>
      <c r="F7" s="469" t="s">
        <v>0</v>
      </c>
      <c r="G7" s="473" t="s">
        <v>511</v>
      </c>
      <c r="H7" s="480" t="s">
        <v>184</v>
      </c>
      <c r="I7" s="433"/>
      <c r="J7" s="433"/>
      <c r="K7" s="433"/>
      <c r="L7" s="433"/>
      <c r="M7" s="469" t="s">
        <v>253</v>
      </c>
      <c r="N7" s="472" t="s">
        <v>254</v>
      </c>
      <c r="O7" s="472"/>
      <c r="P7" s="472">
        <v>331</v>
      </c>
    </row>
    <row r="8" spans="1:16" ht="25.5">
      <c r="A8" s="479"/>
      <c r="B8" s="479"/>
      <c r="C8" s="469"/>
      <c r="D8" s="104" t="s">
        <v>32</v>
      </c>
      <c r="E8" s="102" t="s">
        <v>70</v>
      </c>
      <c r="F8" s="469"/>
      <c r="G8" s="474"/>
      <c r="H8" s="480"/>
      <c r="I8" s="433"/>
      <c r="J8" s="433"/>
      <c r="K8" s="433"/>
      <c r="L8" s="433"/>
      <c r="M8" s="469"/>
      <c r="N8" s="105" t="s">
        <v>52</v>
      </c>
      <c r="O8" s="105" t="s">
        <v>53</v>
      </c>
      <c r="P8" s="472"/>
    </row>
    <row r="9" spans="1:16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255"/>
      <c r="J9" s="255"/>
      <c r="K9" s="255"/>
      <c r="L9" s="255"/>
      <c r="M9" s="71">
        <v>10</v>
      </c>
      <c r="N9" s="255">
        <v>11</v>
      </c>
      <c r="O9" s="71">
        <v>12</v>
      </c>
      <c r="P9" s="255">
        <v>13</v>
      </c>
    </row>
    <row r="10" spans="1:16" s="109" customFormat="1" ht="18" hidden="1" customHeigh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2"/>
      <c r="J10" s="132"/>
      <c r="K10" s="132"/>
      <c r="L10" s="132"/>
      <c r="M10" s="133">
        <f>MAX(SUMIF(KHN,"911",TH)-SUMIF(KHC,"911",TH),SUMIF(KHC,"911",TH)-SUMIF(KHN,"911",TH))</f>
        <v>1312445561</v>
      </c>
      <c r="N10" s="134" t="s">
        <v>234</v>
      </c>
      <c r="O10" s="134" t="s">
        <v>249</v>
      </c>
      <c r="P10" s="134" t="str">
        <f>IF(AND('331-CT'!$E$7=TH!H10,OR(N10="331",O10="331")),"x","")</f>
        <v/>
      </c>
    </row>
    <row r="11" spans="1:16" s="109" customFormat="1" ht="18" hidden="1" customHeigh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2"/>
      <c r="J11" s="132"/>
      <c r="K11" s="132"/>
      <c r="L11" s="132"/>
      <c r="M11" s="133">
        <f>SUMIF(KHN,"635",TH)</f>
        <v>2696836981</v>
      </c>
      <c r="N11" s="141" t="s">
        <v>654</v>
      </c>
      <c r="O11" s="134" t="s">
        <v>239</v>
      </c>
      <c r="P11" s="134" t="str">
        <f>IF(AND('331-CT'!$E$7=TH!H11,OR(N11="331",O11="331")),"x","")</f>
        <v/>
      </c>
    </row>
    <row r="12" spans="1:16" s="109" customFormat="1" ht="18" hidden="1" customHeigh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2"/>
      <c r="J12" s="132"/>
      <c r="K12" s="132"/>
      <c r="L12" s="132"/>
      <c r="M12" s="133">
        <f>SUMIF(KHN,"642",TH)</f>
        <v>1305203780</v>
      </c>
      <c r="N12" s="141" t="s">
        <v>249</v>
      </c>
      <c r="O12" s="134" t="s">
        <v>241</v>
      </c>
      <c r="P12" s="134" t="str">
        <f>IF(AND('331-CT'!$E$7=TH!H12,OR(N12="331",O12="331")),"x","")</f>
        <v/>
      </c>
    </row>
    <row r="13" spans="1:16" s="109" customFormat="1" ht="18" hidden="1" customHeigh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42"/>
      <c r="J13" s="142"/>
      <c r="K13" s="142"/>
      <c r="L13" s="142"/>
      <c r="M13" s="133">
        <f>SUMIF(KHC,"515",TH)</f>
        <v>21778219</v>
      </c>
      <c r="N13" s="134" t="s">
        <v>99</v>
      </c>
      <c r="O13" s="134" t="s">
        <v>249</v>
      </c>
      <c r="P13" s="134" t="str">
        <f>IF(AND('331-CT'!$E$7=TH!H13,OR(N13="331",O13="331")),"x","")</f>
        <v/>
      </c>
    </row>
    <row r="14" spans="1:16" s="109" customFormat="1" ht="18" hidden="1" customHeigh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2"/>
      <c r="J14" s="132"/>
      <c r="K14" s="132"/>
      <c r="L14" s="132"/>
      <c r="M14" s="133">
        <f>SUMIF(KHC,"711",TH)</f>
        <v>900000</v>
      </c>
      <c r="N14" s="134" t="s">
        <v>243</v>
      </c>
      <c r="O14" s="134" t="s">
        <v>249</v>
      </c>
      <c r="P14" s="134" t="str">
        <f>IF(AND('331-CT'!$E$7=TH!H14,OR(N14="331",O14="331")),"x","")</f>
        <v/>
      </c>
    </row>
    <row r="15" spans="1:16" s="109" customFormat="1" ht="18" hidden="1" customHeigh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2"/>
      <c r="J15" s="132"/>
      <c r="K15" s="132"/>
      <c r="L15" s="132"/>
      <c r="M15" s="133">
        <f>SUMIF(KHN,"811",TH)</f>
        <v>29920000</v>
      </c>
      <c r="N15" s="134" t="s">
        <v>249</v>
      </c>
      <c r="O15" s="134" t="s">
        <v>245</v>
      </c>
      <c r="P15" s="134" t="str">
        <f>IF(AND('331-CT'!$E$7=TH!H15,OR(N15="331",O15="331")),"x","")</f>
        <v/>
      </c>
    </row>
    <row r="16" spans="1:16" s="109" customFormat="1" ht="18" hidden="1" customHeigh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116"/>
      <c r="J16" s="116"/>
      <c r="K16" s="116"/>
      <c r="L16" s="116"/>
      <c r="M16" s="81">
        <v>2400000000</v>
      </c>
      <c r="N16" s="82" t="s">
        <v>203</v>
      </c>
      <c r="O16" s="83" t="s">
        <v>55</v>
      </c>
      <c r="P16" s="134" t="str">
        <f>IF(AND('331-CT'!$E$7=TH!H16,OR(N16="331",O16="331")),"x","")</f>
        <v/>
      </c>
    </row>
    <row r="17" spans="1:16" s="109" customFormat="1" ht="18" hidden="1" customHeigh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116"/>
      <c r="J17" s="116"/>
      <c r="K17" s="116"/>
      <c r="L17" s="116"/>
      <c r="M17" s="81">
        <v>1600000000</v>
      </c>
      <c r="N17" s="82" t="s">
        <v>203</v>
      </c>
      <c r="O17" s="83" t="s">
        <v>55</v>
      </c>
      <c r="P17" s="134" t="str">
        <f>IF(AND('331-CT'!$E$7=TH!H17,OR(N17="331",O17="331")),"x","")</f>
        <v/>
      </c>
    </row>
    <row r="18" spans="1:16" s="109" customFormat="1" ht="18" hidden="1" customHeigh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117"/>
      <c r="J18" s="117"/>
      <c r="K18" s="117"/>
      <c r="L18" s="117"/>
      <c r="M18" s="86">
        <v>1500000</v>
      </c>
      <c r="N18" s="87" t="s">
        <v>219</v>
      </c>
      <c r="O18" s="87" t="s">
        <v>203</v>
      </c>
      <c r="P18" s="134" t="str">
        <f>IF(AND('331-CT'!$E$7=TH!H18,OR(N18="331",O18="331")),"x","")</f>
        <v/>
      </c>
    </row>
    <row r="19" spans="1:16" s="109" customFormat="1" ht="18" hidden="1" customHeigh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118"/>
      <c r="J19" s="118"/>
      <c r="K19" s="118"/>
      <c r="L19" s="118"/>
      <c r="M19" s="86">
        <v>1500000</v>
      </c>
      <c r="N19" s="87" t="s">
        <v>241</v>
      </c>
      <c r="O19" s="87" t="s">
        <v>219</v>
      </c>
      <c r="P19" s="134" t="str">
        <f>IF(AND('331-CT'!$E$7=TH!H19,OR(N19="331",O19="331")),"x","")</f>
        <v/>
      </c>
    </row>
    <row r="20" spans="1:16" s="109" customFormat="1" ht="18" hidden="1" customHeigh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117"/>
      <c r="J20" s="117"/>
      <c r="K20" s="117"/>
      <c r="L20" s="117"/>
      <c r="M20" s="86">
        <v>1000000</v>
      </c>
      <c r="N20" s="87" t="s">
        <v>241</v>
      </c>
      <c r="O20" s="87" t="s">
        <v>203</v>
      </c>
      <c r="P20" s="134" t="str">
        <f>IF(AND('331-CT'!$E$7=TH!H20,OR(N20="331",O20="331")),"x","")</f>
        <v/>
      </c>
    </row>
    <row r="21" spans="1:16" s="109" customFormat="1" ht="18" hidden="1" customHeigh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117"/>
      <c r="J21" s="117"/>
      <c r="K21" s="117"/>
      <c r="L21" s="117"/>
      <c r="M21" s="86">
        <v>25000</v>
      </c>
      <c r="N21" s="87" t="s">
        <v>241</v>
      </c>
      <c r="O21" s="87" t="s">
        <v>203</v>
      </c>
      <c r="P21" s="134" t="str">
        <f>IF(AND('331-CT'!$E$7=TH!H21,OR(N21="331",O21="331")),"x","")</f>
        <v/>
      </c>
    </row>
    <row r="22" spans="1:16" s="109" customFormat="1" ht="18" hidden="1" customHeigh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117"/>
      <c r="J22" s="117"/>
      <c r="K22" s="117"/>
      <c r="L22" s="117"/>
      <c r="M22" s="86">
        <v>750000</v>
      </c>
      <c r="N22" s="87" t="s">
        <v>219</v>
      </c>
      <c r="O22" s="87" t="s">
        <v>203</v>
      </c>
      <c r="P22" s="134" t="str">
        <f>IF(AND('331-CT'!$E$7=TH!H22,OR(N22="331",O22="331")),"x","")</f>
        <v/>
      </c>
    </row>
    <row r="23" spans="1:16" s="109" customFormat="1" ht="18" hidden="1" customHeigh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117"/>
      <c r="J23" s="117"/>
      <c r="K23" s="117"/>
      <c r="L23" s="117"/>
      <c r="M23" s="86">
        <v>750000</v>
      </c>
      <c r="N23" s="87" t="s">
        <v>241</v>
      </c>
      <c r="O23" s="87" t="s">
        <v>219</v>
      </c>
      <c r="P23" s="134" t="str">
        <f>IF(AND('331-CT'!$E$7=TH!H23,OR(N23="331",O23="331")),"x","")</f>
        <v/>
      </c>
    </row>
    <row r="24" spans="1:16" s="109" customFormat="1" ht="18" hidden="1" customHeigh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117"/>
      <c r="J24" s="117"/>
      <c r="K24" s="117"/>
      <c r="L24" s="117"/>
      <c r="M24" s="86">
        <v>25000</v>
      </c>
      <c r="N24" s="87" t="s">
        <v>241</v>
      </c>
      <c r="O24" s="87" t="s">
        <v>203</v>
      </c>
      <c r="P24" s="134" t="str">
        <f>IF(AND('331-CT'!$E$7=TH!H24,OR(N24="331",O24="331")),"x","")</f>
        <v/>
      </c>
    </row>
    <row r="25" spans="1:16" s="109" customFormat="1" ht="18" hidden="1" customHeigh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117"/>
      <c r="J25" s="117"/>
      <c r="K25" s="117"/>
      <c r="L25" s="117"/>
      <c r="M25" s="90">
        <v>1500000</v>
      </c>
      <c r="N25" s="91" t="s">
        <v>219</v>
      </c>
      <c r="O25" s="91" t="s">
        <v>203</v>
      </c>
      <c r="P25" s="134" t="str">
        <f>IF(AND('331-CT'!$E$7=TH!H25,OR(N25="331",O25="331")),"x","")</f>
        <v/>
      </c>
    </row>
    <row r="26" spans="1:16" s="109" customFormat="1" ht="18" hidden="1" customHeigh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119"/>
      <c r="J26" s="119"/>
      <c r="K26" s="119"/>
      <c r="L26" s="119"/>
      <c r="M26" s="90">
        <v>1500000</v>
      </c>
      <c r="N26" s="91" t="s">
        <v>241</v>
      </c>
      <c r="O26" s="91" t="s">
        <v>219</v>
      </c>
      <c r="P26" s="134" t="str">
        <f>IF(AND('331-CT'!$E$7=TH!H26,OR(N26="331",O26="331")),"x","")</f>
        <v/>
      </c>
    </row>
    <row r="27" spans="1:16" s="109" customFormat="1" ht="18" hidden="1" customHeigh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117"/>
      <c r="J27" s="117"/>
      <c r="K27" s="117"/>
      <c r="L27" s="117"/>
      <c r="M27" s="90">
        <v>390000</v>
      </c>
      <c r="N27" s="91" t="s">
        <v>241</v>
      </c>
      <c r="O27" s="91" t="s">
        <v>203</v>
      </c>
      <c r="P27" s="134" t="str">
        <f>IF(AND('331-CT'!$E$7=TH!H27,OR(N27="331",O27="331")),"x","")</f>
        <v/>
      </c>
    </row>
    <row r="28" spans="1:16" s="109" customFormat="1" ht="18" hidden="1" customHeigh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117"/>
      <c r="J28" s="117"/>
      <c r="K28" s="117"/>
      <c r="L28" s="117"/>
      <c r="M28" s="90">
        <v>20000</v>
      </c>
      <c r="N28" s="91" t="s">
        <v>241</v>
      </c>
      <c r="O28" s="91" t="s">
        <v>203</v>
      </c>
      <c r="P28" s="134" t="str">
        <f>IF(AND('331-CT'!$E$7=TH!H28,OR(N28="331",O28="331")),"x","")</f>
        <v/>
      </c>
    </row>
    <row r="29" spans="1:16" s="109" customFormat="1" ht="18" hidden="1" customHeigh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116"/>
      <c r="J29" s="116"/>
      <c r="K29" s="116"/>
      <c r="L29" s="116"/>
      <c r="M29" s="94">
        <v>100000000</v>
      </c>
      <c r="N29" s="95" t="s">
        <v>54</v>
      </c>
      <c r="O29" s="95" t="s">
        <v>203</v>
      </c>
      <c r="P29" s="134" t="str">
        <f>IF(AND('331-CT'!$E$7=TH!H29,OR(N29="331",O29="331")),"x","")</f>
        <v/>
      </c>
    </row>
    <row r="30" spans="1:16" s="109" customFormat="1" ht="18" hidden="1" customHeigh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116"/>
      <c r="J30" s="116"/>
      <c r="K30" s="116"/>
      <c r="L30" s="116"/>
      <c r="M30" s="94">
        <v>100000</v>
      </c>
      <c r="N30" s="95" t="s">
        <v>54</v>
      </c>
      <c r="O30" s="95" t="s">
        <v>203</v>
      </c>
      <c r="P30" s="134" t="str">
        <f>IF(AND('331-CT'!$E$7=TH!H30,OR(N30="331",O30="331")),"x","")</f>
        <v/>
      </c>
    </row>
    <row r="31" spans="1:16" s="109" customFormat="1" ht="18" hidden="1" customHeigh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120"/>
      <c r="J31" s="120"/>
      <c r="K31" s="120"/>
      <c r="L31" s="120"/>
      <c r="M31" s="94">
        <v>100000000</v>
      </c>
      <c r="N31" s="95" t="s">
        <v>18</v>
      </c>
      <c r="O31" s="95" t="s">
        <v>54</v>
      </c>
      <c r="P31" s="134" t="str">
        <f>IF(AND('331-CT'!$E$7=TH!H31,OR(N31="331",O31="331")),"x","")</f>
        <v/>
      </c>
    </row>
    <row r="32" spans="1:16" s="109" customFormat="1" ht="18" hidden="1" customHeigh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120"/>
      <c r="J32" s="120"/>
      <c r="K32" s="120"/>
      <c r="L32" s="120"/>
      <c r="M32" s="94">
        <v>50000</v>
      </c>
      <c r="N32" s="95" t="s">
        <v>241</v>
      </c>
      <c r="O32" s="95" t="s">
        <v>54</v>
      </c>
      <c r="P32" s="134" t="str">
        <f>IF(AND('331-CT'!$E$7=TH!H32,OR(N32="331",O32="331")),"x","")</f>
        <v/>
      </c>
    </row>
    <row r="33" spans="1:16" s="109" customFormat="1" ht="18" hidden="1" customHeigh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120"/>
      <c r="J33" s="120"/>
      <c r="K33" s="120"/>
      <c r="L33" s="120"/>
      <c r="M33" s="94">
        <v>5000</v>
      </c>
      <c r="N33" s="95" t="s">
        <v>241</v>
      </c>
      <c r="O33" s="95" t="s">
        <v>54</v>
      </c>
      <c r="P33" s="134" t="str">
        <f>IF(AND('331-CT'!$E$7=TH!H33,OR(N33="331",O33="331")),"x","")</f>
        <v/>
      </c>
    </row>
    <row r="34" spans="1:16" s="109" customFormat="1" ht="18" hidden="1" customHeigh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120"/>
      <c r="J34" s="120"/>
      <c r="K34" s="120"/>
      <c r="L34" s="120"/>
      <c r="M34" s="94">
        <v>30000</v>
      </c>
      <c r="N34" s="95" t="s">
        <v>241</v>
      </c>
      <c r="O34" s="95" t="s">
        <v>54</v>
      </c>
      <c r="P34" s="134" t="str">
        <f>IF(AND('331-CT'!$E$7=TH!H34,OR(N34="331",O34="331")),"x","")</f>
        <v/>
      </c>
    </row>
    <row r="35" spans="1:16" s="109" customFormat="1" ht="18" hidden="1" customHeigh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120"/>
      <c r="J35" s="120"/>
      <c r="K35" s="120"/>
      <c r="L35" s="120"/>
      <c r="M35" s="94">
        <v>3000</v>
      </c>
      <c r="N35" s="95" t="s">
        <v>241</v>
      </c>
      <c r="O35" s="95" t="s">
        <v>54</v>
      </c>
      <c r="P35" s="134" t="str">
        <f>IF(AND('331-CT'!$E$7=TH!H35,OR(N35="331",O35="331")),"x","")</f>
        <v/>
      </c>
    </row>
    <row r="36" spans="1:16" s="109" customFormat="1" ht="18" hidden="1" customHeigh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120"/>
      <c r="J36" s="120"/>
      <c r="K36" s="120"/>
      <c r="L36" s="120"/>
      <c r="M36" s="94">
        <v>10000</v>
      </c>
      <c r="N36" s="95" t="s">
        <v>241</v>
      </c>
      <c r="O36" s="95" t="s">
        <v>54</v>
      </c>
      <c r="P36" s="134" t="str">
        <f>IF(AND('331-CT'!$E$7=TH!H36,OR(N36="331",O36="331")),"x","")</f>
        <v/>
      </c>
    </row>
    <row r="37" spans="1:16" s="109" customFormat="1" ht="18" hidden="1" customHeigh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120"/>
      <c r="J37" s="120"/>
      <c r="K37" s="120"/>
      <c r="L37" s="120"/>
      <c r="M37" s="94">
        <v>1000</v>
      </c>
      <c r="N37" s="95" t="s">
        <v>241</v>
      </c>
      <c r="O37" s="95" t="s">
        <v>54</v>
      </c>
      <c r="P37" s="134" t="str">
        <f>IF(AND('331-CT'!$E$7=TH!H37,OR(N37="331",O37="331")),"x","")</f>
        <v/>
      </c>
    </row>
    <row r="38" spans="1:16" s="109" customFormat="1" ht="18" hidden="1" customHeigh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120"/>
      <c r="J38" s="120"/>
      <c r="K38" s="120"/>
      <c r="L38" s="120"/>
      <c r="M38" s="94">
        <v>2000000</v>
      </c>
      <c r="N38" s="95" t="s">
        <v>39</v>
      </c>
      <c r="O38" s="95" t="s">
        <v>203</v>
      </c>
      <c r="P38" s="134" t="str">
        <f>IF(AND('331-CT'!$E$7=TH!H38,OR(N38="331",O38="331")),"x","")</f>
        <v/>
      </c>
    </row>
    <row r="39" spans="1:16" s="109" customFormat="1" ht="18" hidden="1" customHeigh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120"/>
      <c r="J39" s="120"/>
      <c r="K39" s="120"/>
      <c r="L39" s="120"/>
      <c r="M39" s="94">
        <v>2000000</v>
      </c>
      <c r="N39" s="95" t="s">
        <v>54</v>
      </c>
      <c r="O39" s="95" t="s">
        <v>39</v>
      </c>
      <c r="P39" s="134" t="str">
        <f>IF(AND('331-CT'!$E$7=TH!H39,OR(N39="331",O39="331")),"x","")</f>
        <v/>
      </c>
    </row>
    <row r="40" spans="1:16" s="109" customFormat="1" ht="18" hidden="1" customHeigh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120"/>
      <c r="J40" s="120"/>
      <c r="K40" s="120"/>
      <c r="L40" s="120"/>
      <c r="M40" s="94">
        <v>1500000</v>
      </c>
      <c r="N40" s="95" t="s">
        <v>241</v>
      </c>
      <c r="O40" s="95" t="s">
        <v>219</v>
      </c>
      <c r="P40" s="134" t="str">
        <f>IF(AND('331-CT'!$E$7=TH!H40,OR(N40="331",O40="331")),"x","")</f>
        <v/>
      </c>
    </row>
    <row r="41" spans="1:16" s="109" customFormat="1" ht="18" hidden="1" customHeigh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120"/>
      <c r="J41" s="120"/>
      <c r="K41" s="120"/>
      <c r="L41" s="120"/>
      <c r="M41" s="94">
        <v>1500000</v>
      </c>
      <c r="N41" s="95" t="s">
        <v>219</v>
      </c>
      <c r="O41" s="95" t="s">
        <v>54</v>
      </c>
      <c r="P41" s="134" t="str">
        <f>IF(AND('331-CT'!$E$7=TH!H41,OR(N41="331",O41="331")),"x","")</f>
        <v/>
      </c>
    </row>
    <row r="42" spans="1:16" s="109" customFormat="1" ht="18" hidden="1" customHeigh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120"/>
      <c r="J42" s="120"/>
      <c r="K42" s="120"/>
      <c r="L42" s="120"/>
      <c r="M42" s="94">
        <v>20000</v>
      </c>
      <c r="N42" s="95" t="s">
        <v>241</v>
      </c>
      <c r="O42" s="95" t="s">
        <v>54</v>
      </c>
      <c r="P42" s="134" t="str">
        <f>IF(AND('331-CT'!$E$7=TH!H42,OR(N42="331",O42="331")),"x","")</f>
        <v/>
      </c>
    </row>
    <row r="43" spans="1:16" s="109" customFormat="1" ht="18" hidden="1" customHeigh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120"/>
      <c r="J43" s="120"/>
      <c r="K43" s="120"/>
      <c r="L43" s="120"/>
      <c r="M43" s="94">
        <v>2000</v>
      </c>
      <c r="N43" s="95" t="s">
        <v>241</v>
      </c>
      <c r="O43" s="95" t="s">
        <v>54</v>
      </c>
      <c r="P43" s="134" t="str">
        <f>IF(AND('331-CT'!$E$7=TH!H43,OR(N43="331",O43="331")),"x","")</f>
        <v/>
      </c>
    </row>
    <row r="44" spans="1:16" s="109" customFormat="1" ht="18" hidden="1" customHeigh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120"/>
      <c r="J44" s="120"/>
      <c r="K44" s="120"/>
      <c r="L44" s="120"/>
      <c r="M44" s="94">
        <v>10000</v>
      </c>
      <c r="N44" s="95" t="s">
        <v>241</v>
      </c>
      <c r="O44" s="95" t="s">
        <v>54</v>
      </c>
      <c r="P44" s="134" t="str">
        <f>IF(AND('331-CT'!$E$7=TH!H44,OR(N44="331",O44="331")),"x","")</f>
        <v/>
      </c>
    </row>
    <row r="45" spans="1:16" s="109" customFormat="1" ht="18" hidden="1" customHeigh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120"/>
      <c r="J45" s="120"/>
      <c r="K45" s="120"/>
      <c r="L45" s="120"/>
      <c r="M45" s="94">
        <v>1000</v>
      </c>
      <c r="N45" s="95" t="s">
        <v>241</v>
      </c>
      <c r="O45" s="95" t="s">
        <v>54</v>
      </c>
      <c r="P45" s="134" t="str">
        <f>IF(AND('331-CT'!$E$7=TH!H45,OR(N45="331",O45="331")),"x","")</f>
        <v/>
      </c>
    </row>
    <row r="46" spans="1:16" s="109" customFormat="1" ht="18" hidden="1" customHeigh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120"/>
      <c r="J46" s="120"/>
      <c r="K46" s="120"/>
      <c r="L46" s="120"/>
      <c r="M46" s="94">
        <v>50000000</v>
      </c>
      <c r="N46" s="95" t="s">
        <v>39</v>
      </c>
      <c r="O46" s="95" t="s">
        <v>203</v>
      </c>
      <c r="P46" s="134" t="str">
        <f>IF(AND('331-CT'!$E$7=TH!H46,OR(N46="331",O46="331")),"x","")</f>
        <v/>
      </c>
    </row>
    <row r="47" spans="1:16" s="109" customFormat="1" ht="18" hidden="1" customHeigh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120"/>
      <c r="J47" s="120"/>
      <c r="K47" s="120"/>
      <c r="L47" s="120"/>
      <c r="M47" s="94">
        <v>50000000</v>
      </c>
      <c r="N47" s="95" t="s">
        <v>54</v>
      </c>
      <c r="O47" s="95" t="s">
        <v>39</v>
      </c>
      <c r="P47" s="134" t="str">
        <f>IF(AND('331-CT'!$E$7=TH!H47,OR(N47="331",O47="331")),"x","")</f>
        <v/>
      </c>
    </row>
    <row r="48" spans="1:16" s="109" customFormat="1" ht="18" hidden="1" customHeigh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120"/>
      <c r="J48" s="120"/>
      <c r="K48" s="120"/>
      <c r="L48" s="120"/>
      <c r="M48" s="94">
        <v>50000000</v>
      </c>
      <c r="N48" s="95" t="s">
        <v>18</v>
      </c>
      <c r="O48" s="95" t="s">
        <v>54</v>
      </c>
      <c r="P48" s="134" t="str">
        <f>IF(AND('331-CT'!$E$7=TH!H48,OR(N48="331",O48="331")),"x","")</f>
        <v/>
      </c>
    </row>
    <row r="49" spans="1:16" s="109" customFormat="1" ht="18" hidden="1" customHeigh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120"/>
      <c r="J49" s="120"/>
      <c r="K49" s="120"/>
      <c r="L49" s="120"/>
      <c r="M49" s="94">
        <v>25000</v>
      </c>
      <c r="N49" s="95" t="s">
        <v>241</v>
      </c>
      <c r="O49" s="95" t="s">
        <v>54</v>
      </c>
      <c r="P49" s="134" t="str">
        <f>IF(AND('331-CT'!$E$7=TH!H49,OR(N49="331",O49="331")),"x","")</f>
        <v/>
      </c>
    </row>
    <row r="50" spans="1:16" s="109" customFormat="1" ht="18" hidden="1" customHeigh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120"/>
      <c r="J50" s="120"/>
      <c r="K50" s="120"/>
      <c r="L50" s="120"/>
      <c r="M50" s="94">
        <v>2500</v>
      </c>
      <c r="N50" s="95" t="s">
        <v>241</v>
      </c>
      <c r="O50" s="95" t="s">
        <v>54</v>
      </c>
      <c r="P50" s="134" t="str">
        <f>IF(AND('331-CT'!$E$7=TH!H50,OR(N50="331",O50="331")),"x","")</f>
        <v/>
      </c>
    </row>
    <row r="51" spans="1:16" s="109" customFormat="1" ht="18" hidden="1" customHeigh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120"/>
      <c r="J51" s="120"/>
      <c r="K51" s="120"/>
      <c r="L51" s="120"/>
      <c r="M51" s="94">
        <v>5500</v>
      </c>
      <c r="N51" s="95" t="s">
        <v>241</v>
      </c>
      <c r="O51" s="95" t="s">
        <v>54</v>
      </c>
      <c r="P51" s="134" t="str">
        <f>IF(AND('331-CT'!$E$7=TH!H51,OR(N51="331",O51="331")),"x","")</f>
        <v/>
      </c>
    </row>
    <row r="52" spans="1:16" s="109" customFormat="1" ht="18" hidden="1" customHeigh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120"/>
      <c r="J52" s="120"/>
      <c r="K52" s="120"/>
      <c r="L52" s="120"/>
      <c r="M52" s="94">
        <v>5500</v>
      </c>
      <c r="N52" s="95" t="s">
        <v>241</v>
      </c>
      <c r="O52" s="95" t="s">
        <v>54</v>
      </c>
      <c r="P52" s="134" t="str">
        <f>IF(AND('331-CT'!$E$7=TH!H52,OR(N52="331",O52="331")),"x","")</f>
        <v/>
      </c>
    </row>
    <row r="53" spans="1:16" s="109" customFormat="1" ht="18" hidden="1" customHeigh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120"/>
      <c r="J53" s="120"/>
      <c r="K53" s="120"/>
      <c r="L53" s="120"/>
      <c r="M53" s="94">
        <v>100000000</v>
      </c>
      <c r="N53" s="95" t="s">
        <v>39</v>
      </c>
      <c r="O53" s="95" t="s">
        <v>203</v>
      </c>
      <c r="P53" s="134" t="str">
        <f>IF(AND('331-CT'!$E$7=TH!H53,OR(N53="331",O53="331")),"x","")</f>
        <v/>
      </c>
    </row>
    <row r="54" spans="1:16" s="109" customFormat="1" ht="18" hidden="1" customHeigh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120"/>
      <c r="J54" s="120"/>
      <c r="K54" s="120"/>
      <c r="L54" s="120"/>
      <c r="M54" s="94">
        <v>100000000</v>
      </c>
      <c r="N54" s="95" t="s">
        <v>54</v>
      </c>
      <c r="O54" s="95" t="s">
        <v>39</v>
      </c>
      <c r="P54" s="134" t="str">
        <f>IF(AND('331-CT'!$E$7=TH!H54,OR(N54="331",O54="331")),"x","")</f>
        <v/>
      </c>
    </row>
    <row r="55" spans="1:16" s="109" customFormat="1" ht="18" hidden="1" customHeigh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120"/>
      <c r="J55" s="120"/>
      <c r="K55" s="120"/>
      <c r="L55" s="120"/>
      <c r="M55" s="94">
        <v>100000000</v>
      </c>
      <c r="N55" s="95" t="s">
        <v>18</v>
      </c>
      <c r="O55" s="95" t="s">
        <v>54</v>
      </c>
      <c r="P55" s="134" t="str">
        <f>IF(AND('331-CT'!$E$7=TH!H55,OR(N55="331",O55="331")),"x","")</f>
        <v/>
      </c>
    </row>
    <row r="56" spans="1:16" s="109" customFormat="1" ht="18" hidden="1" customHeigh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120"/>
      <c r="J56" s="120"/>
      <c r="K56" s="120"/>
      <c r="L56" s="120"/>
      <c r="M56" s="94">
        <v>50000</v>
      </c>
      <c r="N56" s="95" t="s">
        <v>241</v>
      </c>
      <c r="O56" s="95" t="s">
        <v>54</v>
      </c>
      <c r="P56" s="134" t="str">
        <f>IF(AND('331-CT'!$E$7=TH!H56,OR(N56="331",O56="331")),"x","")</f>
        <v/>
      </c>
    </row>
    <row r="57" spans="1:16" s="109" customFormat="1" ht="18" hidden="1" customHeigh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120"/>
      <c r="J57" s="120"/>
      <c r="K57" s="120"/>
      <c r="L57" s="120"/>
      <c r="M57" s="94">
        <v>5000</v>
      </c>
      <c r="N57" s="95" t="s">
        <v>241</v>
      </c>
      <c r="O57" s="95" t="s">
        <v>54</v>
      </c>
      <c r="P57" s="134" t="str">
        <f>IF(AND('331-CT'!$E$7=TH!H57,OR(N57="331",O57="331")),"x","")</f>
        <v/>
      </c>
    </row>
    <row r="58" spans="1:16" s="109" customFormat="1" ht="18" hidden="1" customHeigh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120"/>
      <c r="J58" s="120"/>
      <c r="K58" s="120"/>
      <c r="L58" s="120"/>
      <c r="M58" s="94">
        <v>5500</v>
      </c>
      <c r="N58" s="95" t="s">
        <v>241</v>
      </c>
      <c r="O58" s="95" t="s">
        <v>54</v>
      </c>
      <c r="P58" s="134" t="str">
        <f>IF(AND('331-CT'!$E$7=TH!H58,OR(N58="331",O58="331")),"x","")</f>
        <v/>
      </c>
    </row>
    <row r="59" spans="1:16" s="109" customFormat="1" ht="18" hidden="1" customHeigh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120"/>
      <c r="J59" s="120"/>
      <c r="K59" s="120"/>
      <c r="L59" s="120"/>
      <c r="M59" s="94">
        <v>5500</v>
      </c>
      <c r="N59" s="95" t="s">
        <v>241</v>
      </c>
      <c r="O59" s="95" t="s">
        <v>54</v>
      </c>
      <c r="P59" s="134" t="str">
        <f>IF(AND('331-CT'!$E$7=TH!H59,OR(N59="331",O59="331")),"x","")</f>
        <v/>
      </c>
    </row>
    <row r="60" spans="1:16" s="109" customFormat="1" ht="18" hidden="1" customHeigh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120"/>
      <c r="J60" s="120"/>
      <c r="K60" s="120"/>
      <c r="L60" s="120"/>
      <c r="M60" s="94">
        <v>232500000</v>
      </c>
      <c r="N60" s="95" t="s">
        <v>39</v>
      </c>
      <c r="O60" s="95" t="s">
        <v>203</v>
      </c>
      <c r="P60" s="134" t="str">
        <f>IF(AND('331-CT'!$E$7=TH!H60,OR(N60="331",O60="331")),"x","")</f>
        <v/>
      </c>
    </row>
    <row r="61" spans="1:16" s="109" customFormat="1" ht="18" hidden="1" customHeigh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120"/>
      <c r="J61" s="120"/>
      <c r="K61" s="120"/>
      <c r="L61" s="120"/>
      <c r="M61" s="94">
        <v>232500000</v>
      </c>
      <c r="N61" s="95" t="s">
        <v>54</v>
      </c>
      <c r="O61" s="95" t="s">
        <v>39</v>
      </c>
      <c r="P61" s="134" t="str">
        <f>IF(AND('331-CT'!$E$7=TH!H61,OR(N61="331",O61="331")),"x","")</f>
        <v/>
      </c>
    </row>
    <row r="62" spans="1:16" s="109" customFormat="1" ht="18" hidden="1" customHeigh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120"/>
      <c r="J62" s="120"/>
      <c r="K62" s="120"/>
      <c r="L62" s="120"/>
      <c r="M62" s="94">
        <v>200000000</v>
      </c>
      <c r="N62" s="95" t="s">
        <v>18</v>
      </c>
      <c r="O62" s="95" t="s">
        <v>54</v>
      </c>
      <c r="P62" s="134" t="str">
        <f>IF(AND('331-CT'!$E$7=TH!H62,OR(N62="331",O62="331")),"x","")</f>
        <v/>
      </c>
    </row>
    <row r="63" spans="1:16" s="109" customFormat="1" ht="18" hidden="1" customHeigh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120"/>
      <c r="J63" s="120"/>
      <c r="K63" s="120"/>
      <c r="L63" s="120"/>
      <c r="M63" s="94">
        <v>100000</v>
      </c>
      <c r="N63" s="95" t="s">
        <v>241</v>
      </c>
      <c r="O63" s="95" t="s">
        <v>54</v>
      </c>
      <c r="P63" s="134" t="str">
        <f>IF(AND('331-CT'!$E$7=TH!H63,OR(N63="331",O63="331")),"x","")</f>
        <v/>
      </c>
    </row>
    <row r="64" spans="1:16" s="109" customFormat="1" ht="18" hidden="1" customHeigh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120"/>
      <c r="J64" s="120"/>
      <c r="K64" s="120"/>
      <c r="L64" s="120"/>
      <c r="M64" s="94">
        <v>10000</v>
      </c>
      <c r="N64" s="95" t="s">
        <v>241</v>
      </c>
      <c r="O64" s="95" t="s">
        <v>54</v>
      </c>
      <c r="P64" s="134" t="str">
        <f>IF(AND('331-CT'!$E$7=TH!H64,OR(N64="331",O64="331")),"x","")</f>
        <v/>
      </c>
    </row>
    <row r="65" spans="1:16" s="109" customFormat="1" ht="18" hidden="1" customHeigh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121"/>
      <c r="J65" s="121"/>
      <c r="K65" s="121"/>
      <c r="L65" s="121"/>
      <c r="M65" s="94">
        <v>32288666</v>
      </c>
      <c r="N65" s="95" t="s">
        <v>241</v>
      </c>
      <c r="O65" s="95" t="s">
        <v>18</v>
      </c>
      <c r="P65" s="134" t="str">
        <f>IF(AND('331-CT'!$E$7=TH!H65,OR(N65="331",O65="331")),"x","")</f>
        <v/>
      </c>
    </row>
    <row r="66" spans="1:16" s="109" customFormat="1" ht="18" hidden="1" customHeigh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120"/>
      <c r="J66" s="120"/>
      <c r="K66" s="120"/>
      <c r="L66" s="120"/>
      <c r="M66" s="94">
        <v>32288666</v>
      </c>
      <c r="N66" s="95" t="s">
        <v>18</v>
      </c>
      <c r="O66" s="95" t="s">
        <v>54</v>
      </c>
      <c r="P66" s="134" t="str">
        <f>IF(AND('331-CT'!$E$7=TH!H66,OR(N66="331",O66="331")),"x","")</f>
        <v/>
      </c>
    </row>
    <row r="67" spans="1:16" s="109" customFormat="1" ht="18" hidden="1" customHeigh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120"/>
      <c r="J67" s="120"/>
      <c r="K67" s="120"/>
      <c r="L67" s="120"/>
      <c r="M67" s="94">
        <v>20000</v>
      </c>
      <c r="N67" s="95" t="s">
        <v>241</v>
      </c>
      <c r="O67" s="95" t="s">
        <v>54</v>
      </c>
      <c r="P67" s="134" t="str">
        <f>IF(AND('331-CT'!$E$7=TH!H67,OR(N67="331",O67="331")),"x","")</f>
        <v/>
      </c>
    </row>
    <row r="68" spans="1:16" s="109" customFormat="1" ht="18" hidden="1" customHeigh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120"/>
      <c r="J68" s="120"/>
      <c r="K68" s="120"/>
      <c r="L68" s="120"/>
      <c r="M68" s="94">
        <v>2000</v>
      </c>
      <c r="N68" s="95" t="s">
        <v>241</v>
      </c>
      <c r="O68" s="95" t="s">
        <v>54</v>
      </c>
      <c r="P68" s="134" t="str">
        <f>IF(AND('331-CT'!$E$7=TH!H68,OR(N68="331",O68="331")),"x","")</f>
        <v/>
      </c>
    </row>
    <row r="69" spans="1:16" s="109" customFormat="1" ht="18" hidden="1" customHeigh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120"/>
      <c r="J69" s="120"/>
      <c r="K69" s="120"/>
      <c r="L69" s="120"/>
      <c r="M69" s="94">
        <v>100000000</v>
      </c>
      <c r="N69" s="95" t="s">
        <v>39</v>
      </c>
      <c r="O69" s="95" t="s">
        <v>203</v>
      </c>
      <c r="P69" s="134" t="str">
        <f>IF(AND('331-CT'!$E$7=TH!H69,OR(N69="331",O69="331")),"x","")</f>
        <v/>
      </c>
    </row>
    <row r="70" spans="1:16" s="109" customFormat="1" ht="18" hidden="1" customHeigh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120"/>
      <c r="J70" s="120"/>
      <c r="K70" s="120"/>
      <c r="L70" s="120"/>
      <c r="M70" s="94">
        <v>100000000</v>
      </c>
      <c r="N70" s="95" t="s">
        <v>54</v>
      </c>
      <c r="O70" s="95" t="s">
        <v>39</v>
      </c>
      <c r="P70" s="134" t="str">
        <f>IF(AND('331-CT'!$E$7=TH!H70,OR(N70="331",O70="331")),"x","")</f>
        <v/>
      </c>
    </row>
    <row r="71" spans="1:16" s="109" customFormat="1" ht="18" hidden="1" customHeigh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120"/>
      <c r="J71" s="120"/>
      <c r="K71" s="120"/>
      <c r="L71" s="120"/>
      <c r="M71" s="94">
        <v>100000000</v>
      </c>
      <c r="N71" s="95" t="s">
        <v>18</v>
      </c>
      <c r="O71" s="95" t="s">
        <v>54</v>
      </c>
      <c r="P71" s="134" t="str">
        <f>IF(AND('331-CT'!$E$7=TH!H71,OR(N71="331",O71="331")),"x","")</f>
        <v/>
      </c>
    </row>
    <row r="72" spans="1:16" s="109" customFormat="1" ht="18" hidden="1" customHeigh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120"/>
      <c r="J72" s="120"/>
      <c r="K72" s="120"/>
      <c r="L72" s="120"/>
      <c r="M72" s="94">
        <v>50000</v>
      </c>
      <c r="N72" s="95" t="s">
        <v>241</v>
      </c>
      <c r="O72" s="95" t="s">
        <v>54</v>
      </c>
      <c r="P72" s="134" t="str">
        <f>IF(AND('331-CT'!$E$7=TH!H72,OR(N72="331",O72="331")),"x","")</f>
        <v/>
      </c>
    </row>
    <row r="73" spans="1:16" s="109" customFormat="1" ht="18" hidden="1" customHeigh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120"/>
      <c r="J73" s="120"/>
      <c r="K73" s="120"/>
      <c r="L73" s="120"/>
      <c r="M73" s="94">
        <v>5000</v>
      </c>
      <c r="N73" s="95" t="s">
        <v>241</v>
      </c>
      <c r="O73" s="95" t="s">
        <v>54</v>
      </c>
      <c r="P73" s="134" t="str">
        <f>IF(AND('331-CT'!$E$7=TH!H73,OR(N73="331",O73="331")),"x","")</f>
        <v/>
      </c>
    </row>
    <row r="74" spans="1:16" s="109" customFormat="1" ht="18" hidden="1" customHeigh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120"/>
      <c r="J74" s="120"/>
      <c r="K74" s="120"/>
      <c r="L74" s="120"/>
      <c r="M74" s="94">
        <v>5500</v>
      </c>
      <c r="N74" s="95" t="s">
        <v>241</v>
      </c>
      <c r="O74" s="95" t="s">
        <v>54</v>
      </c>
      <c r="P74" s="134" t="str">
        <f>IF(AND('331-CT'!$E$7=TH!H74,OR(N74="331",O74="331")),"x","")</f>
        <v/>
      </c>
    </row>
    <row r="75" spans="1:16" s="109" customFormat="1" ht="18" hidden="1" customHeigh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120"/>
      <c r="J75" s="120"/>
      <c r="K75" s="120"/>
      <c r="L75" s="120"/>
      <c r="M75" s="94">
        <v>5500</v>
      </c>
      <c r="N75" s="95" t="s">
        <v>241</v>
      </c>
      <c r="O75" s="95" t="s">
        <v>54</v>
      </c>
      <c r="P75" s="134" t="str">
        <f>IF(AND('331-CT'!$E$7=TH!H75,OR(N75="331",O75="331")),"x","")</f>
        <v/>
      </c>
    </row>
    <row r="76" spans="1:16" s="109" customFormat="1" ht="18" hidden="1" customHeigh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120"/>
      <c r="J76" s="120"/>
      <c r="K76" s="120"/>
      <c r="L76" s="120"/>
      <c r="M76" s="94">
        <v>5500</v>
      </c>
      <c r="N76" s="95" t="s">
        <v>241</v>
      </c>
      <c r="O76" s="95" t="s">
        <v>54</v>
      </c>
      <c r="P76" s="134" t="str">
        <f>IF(AND('331-CT'!$E$7=TH!H76,OR(N76="331",O76="331")),"x","")</f>
        <v/>
      </c>
    </row>
    <row r="77" spans="1:16" s="109" customFormat="1" ht="18" hidden="1" customHeigh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120"/>
      <c r="J77" s="120"/>
      <c r="K77" s="120"/>
      <c r="L77" s="120"/>
      <c r="M77" s="94">
        <v>5500</v>
      </c>
      <c r="N77" s="95" t="s">
        <v>241</v>
      </c>
      <c r="O77" s="95" t="s">
        <v>54</v>
      </c>
      <c r="P77" s="134" t="str">
        <f>IF(AND('331-CT'!$E$7=TH!H77,OR(N77="331",O77="331")),"x","")</f>
        <v/>
      </c>
    </row>
    <row r="78" spans="1:16" s="109" customFormat="1" ht="18" hidden="1" customHeigh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120"/>
      <c r="J78" s="120"/>
      <c r="K78" s="120"/>
      <c r="L78" s="120"/>
      <c r="M78" s="94">
        <v>100000000</v>
      </c>
      <c r="N78" s="95" t="s">
        <v>39</v>
      </c>
      <c r="O78" s="95" t="s">
        <v>203</v>
      </c>
      <c r="P78" s="134" t="str">
        <f>IF(AND('331-CT'!$E$7=TH!H78,OR(N78="331",O78="331")),"x","")</f>
        <v/>
      </c>
    </row>
    <row r="79" spans="1:16" s="109" customFormat="1" ht="18" hidden="1" customHeigh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120"/>
      <c r="J79" s="120"/>
      <c r="K79" s="120"/>
      <c r="L79" s="120"/>
      <c r="M79" s="94">
        <v>100000000</v>
      </c>
      <c r="N79" s="95" t="s">
        <v>54</v>
      </c>
      <c r="O79" s="95" t="s">
        <v>39</v>
      </c>
      <c r="P79" s="134" t="str">
        <f>IF(AND('331-CT'!$E$7=TH!H79,OR(N79="331",O79="331")),"x","")</f>
        <v/>
      </c>
    </row>
    <row r="80" spans="1:16" s="109" customFormat="1" ht="18" hidden="1" customHeigh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120"/>
      <c r="J80" s="120"/>
      <c r="K80" s="120"/>
      <c r="L80" s="120"/>
      <c r="M80" s="94">
        <v>100000000</v>
      </c>
      <c r="N80" s="95" t="s">
        <v>18</v>
      </c>
      <c r="O80" s="95" t="s">
        <v>54</v>
      </c>
      <c r="P80" s="134" t="str">
        <f>IF(AND('331-CT'!$E$7=TH!H80,OR(N80="331",O80="331")),"x","")</f>
        <v/>
      </c>
    </row>
    <row r="81" spans="1:16" s="109" customFormat="1" ht="18" hidden="1" customHeigh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120"/>
      <c r="J81" s="120"/>
      <c r="K81" s="120"/>
      <c r="L81" s="120"/>
      <c r="M81" s="94">
        <v>50000</v>
      </c>
      <c r="N81" s="95" t="s">
        <v>241</v>
      </c>
      <c r="O81" s="95" t="s">
        <v>54</v>
      </c>
      <c r="P81" s="134" t="str">
        <f>IF(AND('331-CT'!$E$7=TH!H81,OR(N81="331",O81="331")),"x","")</f>
        <v/>
      </c>
    </row>
    <row r="82" spans="1:16" s="109" customFormat="1" ht="18" hidden="1" customHeigh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120"/>
      <c r="J82" s="120"/>
      <c r="K82" s="120"/>
      <c r="L82" s="120"/>
      <c r="M82" s="94">
        <v>5000</v>
      </c>
      <c r="N82" s="95" t="s">
        <v>241</v>
      </c>
      <c r="O82" s="95" t="s">
        <v>54</v>
      </c>
      <c r="P82" s="134" t="str">
        <f>IF(AND('331-CT'!$E$7=TH!H82,OR(N82="331",O82="331")),"x","")</f>
        <v/>
      </c>
    </row>
    <row r="83" spans="1:16" s="109" customFormat="1" ht="18" hidden="1" customHeigh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116"/>
      <c r="J83" s="116"/>
      <c r="K83" s="116"/>
      <c r="L83" s="116"/>
      <c r="M83" s="94">
        <v>50000000</v>
      </c>
      <c r="N83" s="95" t="s">
        <v>54</v>
      </c>
      <c r="O83" s="95" t="s">
        <v>203</v>
      </c>
      <c r="P83" s="134" t="str">
        <f>IF(AND('331-CT'!$E$7=TH!H83,OR(N83="331",O83="331")),"x","")</f>
        <v/>
      </c>
    </row>
    <row r="84" spans="1:16" s="109" customFormat="1" ht="18" hidden="1" customHeigh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120"/>
      <c r="J84" s="120"/>
      <c r="K84" s="120"/>
      <c r="L84" s="120"/>
      <c r="M84" s="94">
        <v>50000000</v>
      </c>
      <c r="N84" s="95" t="s">
        <v>18</v>
      </c>
      <c r="O84" s="95" t="s">
        <v>54</v>
      </c>
      <c r="P84" s="134" t="str">
        <f>IF(AND('331-CT'!$E$7=TH!H84,OR(N84="331",O84="331")),"x","")</f>
        <v/>
      </c>
    </row>
    <row r="85" spans="1:16" s="109" customFormat="1" ht="18" hidden="1" customHeigh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120"/>
      <c r="J85" s="120"/>
      <c r="K85" s="120"/>
      <c r="L85" s="120"/>
      <c r="M85" s="94">
        <v>25000</v>
      </c>
      <c r="N85" s="95" t="s">
        <v>241</v>
      </c>
      <c r="O85" s="95" t="s">
        <v>54</v>
      </c>
      <c r="P85" s="134" t="str">
        <f>IF(AND('331-CT'!$E$7=TH!H85,OR(N85="331",O85="331")),"x","")</f>
        <v/>
      </c>
    </row>
    <row r="86" spans="1:16" s="109" customFormat="1" ht="18" hidden="1" customHeigh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120"/>
      <c r="J86" s="120"/>
      <c r="K86" s="120"/>
      <c r="L86" s="120"/>
      <c r="M86" s="94">
        <v>14907</v>
      </c>
      <c r="N86" s="95" t="s">
        <v>241</v>
      </c>
      <c r="O86" s="95" t="s">
        <v>54</v>
      </c>
      <c r="P86" s="134" t="str">
        <f>IF(AND('331-CT'!$E$7=TH!H86,OR(N86="331",O86="331")),"x","")</f>
        <v/>
      </c>
    </row>
    <row r="87" spans="1:16" s="109" customFormat="1" ht="18" hidden="1" customHeigh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120"/>
      <c r="J87" s="120"/>
      <c r="K87" s="120"/>
      <c r="L87" s="120"/>
      <c r="M87" s="94">
        <v>2500</v>
      </c>
      <c r="N87" s="95" t="s">
        <v>241</v>
      </c>
      <c r="O87" s="95" t="s">
        <v>54</v>
      </c>
      <c r="P87" s="134" t="str">
        <f>IF(AND('331-CT'!$E$7=TH!H87,OR(N87="331",O87="331")),"x","")</f>
        <v/>
      </c>
    </row>
    <row r="88" spans="1:16" s="109" customFormat="1" ht="18" hidden="1" customHeigh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120"/>
      <c r="J88" s="120"/>
      <c r="K88" s="120"/>
      <c r="L88" s="120"/>
      <c r="M88" s="94">
        <v>1491</v>
      </c>
      <c r="N88" s="95" t="s">
        <v>241</v>
      </c>
      <c r="O88" s="95" t="s">
        <v>54</v>
      </c>
      <c r="P88" s="134" t="str">
        <f>IF(AND('331-CT'!$E$7=TH!H88,OR(N88="331",O88="331")),"x","")</f>
        <v/>
      </c>
    </row>
    <row r="89" spans="1:16" s="109" customFormat="1" ht="18" hidden="1" customHeigh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20"/>
      <c r="J89" s="120"/>
      <c r="K89" s="120"/>
      <c r="L89" s="120"/>
      <c r="M89" s="112">
        <v>5500</v>
      </c>
      <c r="N89" s="95" t="s">
        <v>241</v>
      </c>
      <c r="O89" s="95" t="s">
        <v>54</v>
      </c>
      <c r="P89" s="134" t="str">
        <f>IF(AND('331-CT'!$E$7=TH!H89,OR(N89="331",O89="331")),"x","")</f>
        <v/>
      </c>
    </row>
    <row r="90" spans="1:16" s="109" customFormat="1" ht="18" hidden="1" customHeigh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120"/>
      <c r="J90" s="120"/>
      <c r="K90" s="120"/>
      <c r="L90" s="120"/>
      <c r="M90" s="94">
        <v>5500</v>
      </c>
      <c r="N90" s="95" t="s">
        <v>241</v>
      </c>
      <c r="O90" s="95" t="s">
        <v>54</v>
      </c>
      <c r="P90" s="134" t="str">
        <f>IF(AND('331-CT'!$E$7=TH!H90,OR(N90="331",O90="331")),"x","")</f>
        <v/>
      </c>
    </row>
    <row r="91" spans="1:16" s="109" customFormat="1" ht="18" hidden="1" customHeigh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120"/>
      <c r="J91" s="120"/>
      <c r="K91" s="120"/>
      <c r="L91" s="120"/>
      <c r="M91" s="94">
        <v>100000000</v>
      </c>
      <c r="N91" s="95" t="s">
        <v>54</v>
      </c>
      <c r="O91" s="95" t="s">
        <v>203</v>
      </c>
      <c r="P91" s="134" t="str">
        <f>IF(AND('331-CT'!$E$7=TH!H91,OR(N91="331",O91="331")),"x","")</f>
        <v/>
      </c>
    </row>
    <row r="92" spans="1:16" s="109" customFormat="1" ht="18" hidden="1" customHeigh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20"/>
      <c r="J92" s="120"/>
      <c r="K92" s="120"/>
      <c r="L92" s="120"/>
      <c r="M92" s="112">
        <v>100000000</v>
      </c>
      <c r="N92" s="95" t="s">
        <v>18</v>
      </c>
      <c r="O92" s="95" t="s">
        <v>54</v>
      </c>
      <c r="P92" s="134" t="str">
        <f>IF(AND('331-CT'!$E$7=TH!H92,OR(N92="331",O92="331")),"x","")</f>
        <v/>
      </c>
    </row>
    <row r="93" spans="1:16" s="109" customFormat="1" ht="18" hidden="1" customHeigh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20"/>
      <c r="J93" s="120"/>
      <c r="K93" s="120"/>
      <c r="L93" s="120"/>
      <c r="M93" s="112">
        <v>50000</v>
      </c>
      <c r="N93" s="95" t="s">
        <v>241</v>
      </c>
      <c r="O93" s="95" t="s">
        <v>54</v>
      </c>
      <c r="P93" s="134" t="str">
        <f>IF(AND('331-CT'!$E$7=TH!H93,OR(N93="331",O93="331")),"x","")</f>
        <v/>
      </c>
    </row>
    <row r="94" spans="1:16" s="109" customFormat="1" ht="18" hidden="1" customHeigh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20"/>
      <c r="J94" s="120"/>
      <c r="K94" s="120"/>
      <c r="L94" s="120"/>
      <c r="M94" s="112">
        <v>5000</v>
      </c>
      <c r="N94" s="95" t="s">
        <v>241</v>
      </c>
      <c r="O94" s="95" t="s">
        <v>54</v>
      </c>
      <c r="P94" s="134" t="str">
        <f>IF(AND('331-CT'!$E$7=TH!H94,OR(N94="331",O94="331")),"x","")</f>
        <v/>
      </c>
    </row>
    <row r="95" spans="1:16" s="109" customFormat="1" ht="18" hidden="1" customHeigh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20"/>
      <c r="J95" s="120"/>
      <c r="K95" s="120"/>
      <c r="L95" s="120"/>
      <c r="M95" s="112">
        <v>29923</v>
      </c>
      <c r="N95" s="95" t="s">
        <v>241</v>
      </c>
      <c r="O95" s="95" t="s">
        <v>54</v>
      </c>
      <c r="P95" s="134" t="str">
        <f>IF(AND('331-CT'!$E$7=TH!H95,OR(N95="331",O95="331")),"x","")</f>
        <v/>
      </c>
    </row>
    <row r="96" spans="1:16" s="109" customFormat="1" ht="18" hidden="1" customHeigh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120"/>
      <c r="J96" s="120"/>
      <c r="K96" s="120"/>
      <c r="L96" s="120"/>
      <c r="M96" s="94">
        <v>2992</v>
      </c>
      <c r="N96" s="95" t="s">
        <v>241</v>
      </c>
      <c r="O96" s="95" t="s">
        <v>54</v>
      </c>
      <c r="P96" s="134" t="str">
        <f>IF(AND('331-CT'!$E$7=TH!H96,OR(N96="331",O96="331")),"x","")</f>
        <v/>
      </c>
    </row>
    <row r="97" spans="1:16" s="109" customFormat="1" ht="18" hidden="1" customHeigh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120"/>
      <c r="J97" s="120"/>
      <c r="K97" s="120"/>
      <c r="L97" s="120"/>
      <c r="M97" s="94">
        <v>5500</v>
      </c>
      <c r="N97" s="95" t="s">
        <v>241</v>
      </c>
      <c r="O97" s="95" t="s">
        <v>54</v>
      </c>
      <c r="P97" s="134" t="str">
        <f>IF(AND('331-CT'!$E$7=TH!H97,OR(N97="331",O97="331")),"x","")</f>
        <v/>
      </c>
    </row>
    <row r="98" spans="1:16" s="109" customFormat="1" ht="18" hidden="1" customHeigh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120"/>
      <c r="J98" s="120"/>
      <c r="K98" s="120"/>
      <c r="L98" s="120"/>
      <c r="M98" s="94">
        <v>5500</v>
      </c>
      <c r="N98" s="95" t="s">
        <v>241</v>
      </c>
      <c r="O98" s="95" t="s">
        <v>54</v>
      </c>
      <c r="P98" s="134" t="str">
        <f>IF(AND('331-CT'!$E$7=TH!H98,OR(N98="331",O98="331")),"x","")</f>
        <v/>
      </c>
    </row>
    <row r="99" spans="1:16" s="109" customFormat="1" ht="18" hidden="1" customHeigh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120"/>
      <c r="J99" s="120"/>
      <c r="K99" s="120"/>
      <c r="L99" s="120"/>
      <c r="M99" s="94">
        <v>5500</v>
      </c>
      <c r="N99" s="95" t="s">
        <v>241</v>
      </c>
      <c r="O99" s="95" t="s">
        <v>54</v>
      </c>
      <c r="P99" s="134" t="str">
        <f>IF(AND('331-CT'!$E$7=TH!H99,OR(N99="331",O99="331")),"x","")</f>
        <v/>
      </c>
    </row>
    <row r="100" spans="1:16" s="109" customFormat="1" ht="18" hidden="1" customHeigh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120"/>
      <c r="J100" s="120"/>
      <c r="K100" s="120"/>
      <c r="L100" s="120"/>
      <c r="M100" s="94">
        <v>5500</v>
      </c>
      <c r="N100" s="95" t="s">
        <v>241</v>
      </c>
      <c r="O100" s="95" t="s">
        <v>54</v>
      </c>
      <c r="P100" s="134" t="str">
        <f>IF(AND('331-CT'!$E$7=TH!H100,OR(N100="331",O100="331")),"x","")</f>
        <v/>
      </c>
    </row>
    <row r="101" spans="1:16" s="109" customFormat="1" ht="18" hidden="1" customHeigh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435"/>
      <c r="J101" s="435"/>
      <c r="K101" s="435"/>
      <c r="L101" s="435"/>
      <c r="M101" s="101">
        <v>24000</v>
      </c>
      <c r="N101" s="95" t="s">
        <v>241</v>
      </c>
      <c r="O101" s="95" t="s">
        <v>54</v>
      </c>
      <c r="P101" s="134" t="str">
        <f>IF(AND('331-CT'!$E$7=TH!H101,OR(N101="331",O101="331")),"x","")</f>
        <v/>
      </c>
    </row>
    <row r="102" spans="1:16" s="109" customFormat="1" ht="18" hidden="1" customHeigh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120"/>
      <c r="J102" s="120"/>
      <c r="K102" s="120"/>
      <c r="L102" s="120"/>
      <c r="M102" s="94">
        <v>2400</v>
      </c>
      <c r="N102" s="95" t="s">
        <v>241</v>
      </c>
      <c r="O102" s="95" t="s">
        <v>54</v>
      </c>
      <c r="P102" s="134" t="str">
        <f>IF(AND('331-CT'!$E$7=TH!H102,OR(N102="331",O102="331")),"x","")</f>
        <v/>
      </c>
    </row>
    <row r="103" spans="1:16" s="109" customFormat="1" ht="18" hidden="1" customHeigh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435"/>
      <c r="J103" s="435"/>
      <c r="K103" s="435"/>
      <c r="L103" s="435"/>
      <c r="M103" s="101">
        <v>24000</v>
      </c>
      <c r="N103" s="95" t="s">
        <v>241</v>
      </c>
      <c r="O103" s="95" t="s">
        <v>54</v>
      </c>
      <c r="P103" s="134" t="str">
        <f>IF(AND('331-CT'!$E$7=TH!H103,OR(N103="331",O103="331")),"x","")</f>
        <v/>
      </c>
    </row>
    <row r="104" spans="1:16" s="109" customFormat="1" ht="18" hidden="1" customHeigh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120"/>
      <c r="J104" s="120"/>
      <c r="K104" s="120"/>
      <c r="L104" s="120"/>
      <c r="M104" s="94">
        <v>2400</v>
      </c>
      <c r="N104" s="95" t="s">
        <v>241</v>
      </c>
      <c r="O104" s="95" t="s">
        <v>54</v>
      </c>
      <c r="P104" s="134" t="str">
        <f>IF(AND('331-CT'!$E$7=TH!H104,OR(N104="331",O104="331")),"x","")</f>
        <v/>
      </c>
    </row>
    <row r="105" spans="1:16" s="109" customFormat="1" ht="18" hidden="1" customHeigh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120"/>
      <c r="J105" s="120"/>
      <c r="K105" s="120"/>
      <c r="L105" s="120"/>
      <c r="M105" s="94">
        <v>24000</v>
      </c>
      <c r="N105" s="95" t="s">
        <v>241</v>
      </c>
      <c r="O105" s="95" t="s">
        <v>54</v>
      </c>
      <c r="P105" s="134" t="str">
        <f>IF(AND('331-CT'!$E$7=TH!H105,OR(N105="331",O105="331")),"x","")</f>
        <v/>
      </c>
    </row>
    <row r="106" spans="1:16" s="109" customFormat="1" ht="18" hidden="1" customHeigh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120"/>
      <c r="J106" s="120"/>
      <c r="K106" s="120"/>
      <c r="L106" s="120"/>
      <c r="M106" s="94">
        <v>2400</v>
      </c>
      <c r="N106" s="95" t="s">
        <v>241</v>
      </c>
      <c r="O106" s="95" t="s">
        <v>54</v>
      </c>
      <c r="P106" s="134" t="str">
        <f>IF(AND('331-CT'!$E$7=TH!H106,OR(N106="331",O106="331")),"x","")</f>
        <v/>
      </c>
    </row>
    <row r="107" spans="1:16" s="109" customFormat="1" ht="18" hidden="1" customHeigh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120"/>
      <c r="J107" s="120"/>
      <c r="K107" s="120"/>
      <c r="L107" s="120"/>
      <c r="M107" s="94">
        <v>24000</v>
      </c>
      <c r="N107" s="95" t="s">
        <v>241</v>
      </c>
      <c r="O107" s="95" t="s">
        <v>54</v>
      </c>
      <c r="P107" s="134" t="str">
        <f>IF(AND('331-CT'!$E$7=TH!H107,OR(N107="331",O107="331")),"x","")</f>
        <v/>
      </c>
    </row>
    <row r="108" spans="1:16" s="109" customFormat="1" ht="18" hidden="1" customHeigh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20"/>
      <c r="J108" s="120"/>
      <c r="K108" s="120"/>
      <c r="L108" s="120"/>
      <c r="M108" s="114">
        <v>2400</v>
      </c>
      <c r="N108" s="95" t="s">
        <v>241</v>
      </c>
      <c r="O108" s="95" t="s">
        <v>54</v>
      </c>
      <c r="P108" s="134" t="str">
        <f>IF(AND('331-CT'!$E$7=TH!H108,OR(N108="331",O108="331")),"x","")</f>
        <v/>
      </c>
    </row>
    <row r="109" spans="1:16" s="109" customFormat="1" ht="18" hidden="1" customHeigh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20"/>
      <c r="J109" s="120"/>
      <c r="K109" s="120"/>
      <c r="L109" s="120"/>
      <c r="M109" s="114">
        <v>12746</v>
      </c>
      <c r="N109" s="95" t="s">
        <v>241</v>
      </c>
      <c r="O109" s="95" t="s">
        <v>54</v>
      </c>
      <c r="P109" s="134" t="str">
        <f>IF(AND('331-CT'!$E$7=TH!H109,OR(N109="331",O109="331")),"x","")</f>
        <v/>
      </c>
    </row>
    <row r="110" spans="1:16" s="109" customFormat="1" ht="18" hidden="1" customHeigh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20"/>
      <c r="J110" s="120"/>
      <c r="K110" s="120"/>
      <c r="L110" s="120"/>
      <c r="M110" s="114">
        <v>1275</v>
      </c>
      <c r="N110" s="95" t="s">
        <v>241</v>
      </c>
      <c r="O110" s="95" t="s">
        <v>54</v>
      </c>
      <c r="P110" s="134" t="str">
        <f>IF(AND('331-CT'!$E$7=TH!H110,OR(N110="331",O110="331")),"x","")</f>
        <v/>
      </c>
    </row>
    <row r="111" spans="1:16" s="109" customFormat="1" ht="18" hidden="1" customHeigh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120"/>
      <c r="J111" s="120"/>
      <c r="K111" s="120"/>
      <c r="L111" s="120"/>
      <c r="M111" s="94">
        <v>14021</v>
      </c>
      <c r="N111" s="95" t="s">
        <v>241</v>
      </c>
      <c r="O111" s="95" t="s">
        <v>54</v>
      </c>
      <c r="P111" s="134" t="str">
        <f>IF(AND('331-CT'!$E$7=TH!H111,OR(N111="331",O111="331")),"x","")</f>
        <v/>
      </c>
    </row>
    <row r="112" spans="1:16" s="109" customFormat="1" ht="18" hidden="1" customHeigh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120"/>
      <c r="J112" s="120"/>
      <c r="K112" s="120"/>
      <c r="L112" s="120"/>
      <c r="M112" s="94">
        <v>12379</v>
      </c>
      <c r="N112" s="95" t="s">
        <v>241</v>
      </c>
      <c r="O112" s="95" t="s">
        <v>54</v>
      </c>
      <c r="P112" s="134" t="str">
        <f>IF(AND('331-CT'!$E$7=TH!H112,OR(N112="331",O112="331")),"x","")</f>
        <v/>
      </c>
    </row>
    <row r="113" spans="1:16" s="109" customFormat="1" ht="18" hidden="1" customHeigh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120"/>
      <c r="J113" s="120"/>
      <c r="K113" s="120"/>
      <c r="L113" s="120"/>
      <c r="M113" s="94">
        <v>30000000</v>
      </c>
      <c r="N113" s="95" t="s">
        <v>39</v>
      </c>
      <c r="O113" s="95" t="s">
        <v>203</v>
      </c>
      <c r="P113" s="134" t="str">
        <f>IF(AND('331-CT'!$E$7=TH!H113,OR(N113="331",O113="331")),"x","")</f>
        <v/>
      </c>
    </row>
    <row r="114" spans="1:16" s="109" customFormat="1" ht="18" hidden="1" customHeigh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120"/>
      <c r="J114" s="120"/>
      <c r="K114" s="120"/>
      <c r="L114" s="120"/>
      <c r="M114" s="94">
        <v>30000000</v>
      </c>
      <c r="N114" s="95" t="s">
        <v>54</v>
      </c>
      <c r="O114" s="95" t="s">
        <v>39</v>
      </c>
      <c r="P114" s="134" t="str">
        <f>IF(AND('331-CT'!$E$7=TH!H114,OR(N114="331",O114="331")),"x","")</f>
        <v/>
      </c>
    </row>
    <row r="115" spans="1:16" s="109" customFormat="1" ht="18" hidden="1" customHeigh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120"/>
      <c r="J115" s="120"/>
      <c r="K115" s="120"/>
      <c r="L115" s="120"/>
      <c r="M115" s="94">
        <v>29920000</v>
      </c>
      <c r="N115" s="95" t="s">
        <v>18</v>
      </c>
      <c r="O115" s="95" t="s">
        <v>54</v>
      </c>
      <c r="P115" s="134" t="str">
        <f>IF(AND('331-CT'!$E$7=TH!H115,OR(N115="331",O115="331")),"x","")</f>
        <v/>
      </c>
    </row>
    <row r="116" spans="1:16" s="109" customFormat="1" ht="18" hidden="1" customHeigh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120"/>
      <c r="J116" s="120"/>
      <c r="K116" s="120"/>
      <c r="L116" s="120"/>
      <c r="M116" s="94">
        <v>20000</v>
      </c>
      <c r="N116" s="95" t="s">
        <v>241</v>
      </c>
      <c r="O116" s="95" t="s">
        <v>54</v>
      </c>
      <c r="P116" s="134" t="str">
        <f>IF(AND('331-CT'!$E$7=TH!H116,OR(N116="331",O116="331")),"x","")</f>
        <v/>
      </c>
    </row>
    <row r="117" spans="1:16" s="109" customFormat="1" ht="18" hidden="1" customHeigh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120"/>
      <c r="J117" s="120"/>
      <c r="K117" s="120"/>
      <c r="L117" s="120"/>
      <c r="M117" s="94">
        <v>2000</v>
      </c>
      <c r="N117" s="95" t="s">
        <v>241</v>
      </c>
      <c r="O117" s="95" t="s">
        <v>54</v>
      </c>
      <c r="P117" s="134" t="str">
        <f>IF(AND('331-CT'!$E$7=TH!H117,OR(N117="331",O117="331")),"x","")</f>
        <v/>
      </c>
    </row>
    <row r="118" spans="1:16" s="109" customFormat="1" ht="18" hidden="1" customHeigh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120"/>
      <c r="J118" s="120"/>
      <c r="K118" s="120"/>
      <c r="L118" s="120"/>
      <c r="M118" s="94">
        <v>29920000</v>
      </c>
      <c r="N118" s="95" t="s">
        <v>241</v>
      </c>
      <c r="O118" s="95" t="s">
        <v>18</v>
      </c>
      <c r="P118" s="134" t="str">
        <f>IF(AND('331-CT'!$E$7=TH!H118,OR(N118="331",O118="331")),"x","")</f>
        <v/>
      </c>
    </row>
    <row r="119" spans="1:16" s="109" customFormat="1" ht="18" hidden="1" customHeigh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120"/>
      <c r="J119" s="120"/>
      <c r="K119" s="120"/>
      <c r="L119" s="120"/>
      <c r="M119" s="94">
        <v>24000</v>
      </c>
      <c r="N119" s="95" t="s">
        <v>241</v>
      </c>
      <c r="O119" s="95" t="s">
        <v>54</v>
      </c>
      <c r="P119" s="134" t="str">
        <f>IF(AND('331-CT'!$E$7=TH!H119,OR(N119="331",O119="331")),"x","")</f>
        <v/>
      </c>
    </row>
    <row r="120" spans="1:16" s="109" customFormat="1" ht="18" hidden="1" customHeigh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120"/>
      <c r="J120" s="120"/>
      <c r="K120" s="120"/>
      <c r="L120" s="120"/>
      <c r="M120" s="94">
        <v>2400</v>
      </c>
      <c r="N120" s="95" t="s">
        <v>241</v>
      </c>
      <c r="O120" s="95" t="s">
        <v>54</v>
      </c>
      <c r="P120" s="134" t="str">
        <f>IF(AND('331-CT'!$E$7=TH!H120,OR(N120="331",O120="331")),"x","")</f>
        <v/>
      </c>
    </row>
    <row r="121" spans="1:16" s="109" customFormat="1" ht="18" hidden="1" customHeigh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120"/>
      <c r="J121" s="120"/>
      <c r="K121" s="120"/>
      <c r="L121" s="120"/>
      <c r="M121" s="94">
        <v>24000</v>
      </c>
      <c r="N121" s="95" t="s">
        <v>241</v>
      </c>
      <c r="O121" s="95" t="s">
        <v>54</v>
      </c>
      <c r="P121" s="134" t="str">
        <f>IF(AND('331-CT'!$E$7=TH!H121,OR(N121="331",O121="331")),"x","")</f>
        <v/>
      </c>
    </row>
    <row r="122" spans="1:16" s="109" customFormat="1" ht="18" hidden="1" customHeigh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120"/>
      <c r="J122" s="120"/>
      <c r="K122" s="120"/>
      <c r="L122" s="120"/>
      <c r="M122" s="94">
        <v>2400</v>
      </c>
      <c r="N122" s="95" t="s">
        <v>241</v>
      </c>
      <c r="O122" s="95" t="s">
        <v>54</v>
      </c>
      <c r="P122" s="134" t="str">
        <f>IF(AND('331-CT'!$E$7=TH!H122,OR(N122="331",O122="331")),"x","")</f>
        <v/>
      </c>
    </row>
    <row r="123" spans="1:16" s="109" customFormat="1" ht="18" hidden="1" customHeigh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120"/>
      <c r="J123" s="120"/>
      <c r="K123" s="120"/>
      <c r="L123" s="120"/>
      <c r="M123" s="94">
        <v>4727</v>
      </c>
      <c r="N123" s="95" t="s">
        <v>241</v>
      </c>
      <c r="O123" s="95" t="s">
        <v>54</v>
      </c>
      <c r="P123" s="134" t="str">
        <f>IF(AND('331-CT'!$E$7=TH!H123,OR(N123="331",O123="331")),"x","")</f>
        <v/>
      </c>
    </row>
    <row r="124" spans="1:16" s="109" customFormat="1" ht="18" hidden="1" customHeigh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120"/>
      <c r="J124" s="120"/>
      <c r="K124" s="120"/>
      <c r="L124" s="120"/>
      <c r="M124" s="94">
        <v>473</v>
      </c>
      <c r="N124" s="95" t="s">
        <v>241</v>
      </c>
      <c r="O124" s="95" t="s">
        <v>54</v>
      </c>
      <c r="P124" s="134" t="str">
        <f>IF(AND('331-CT'!$E$7=TH!H124,OR(N124="331",O124="331")),"x","")</f>
        <v/>
      </c>
    </row>
    <row r="125" spans="1:16" s="109" customFormat="1" ht="18" hidden="1" customHeigh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122"/>
      <c r="J125" s="122"/>
      <c r="K125" s="122"/>
      <c r="L125" s="122"/>
      <c r="M125" s="94">
        <v>150000</v>
      </c>
      <c r="N125" s="95" t="s">
        <v>241</v>
      </c>
      <c r="O125" s="95" t="s">
        <v>203</v>
      </c>
      <c r="P125" s="134" t="str">
        <f>IF(AND('331-CT'!$E$7=TH!H125,OR(N125="331",O125="331")),"x","")</f>
        <v/>
      </c>
    </row>
    <row r="126" spans="1:16" s="109" customFormat="1" ht="18" hidden="1" customHeigh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120"/>
      <c r="J126" s="120"/>
      <c r="K126" s="120"/>
      <c r="L126" s="120"/>
      <c r="M126" s="74">
        <v>20000000</v>
      </c>
      <c r="N126" s="75" t="s">
        <v>39</v>
      </c>
      <c r="O126" s="75" t="s">
        <v>203</v>
      </c>
      <c r="P126" s="134" t="str">
        <f>IF(AND('331-CT'!$E$7=TH!H126,OR(N126="331",O126="331")),"x","")</f>
        <v/>
      </c>
    </row>
    <row r="127" spans="1:16" s="109" customFormat="1" ht="18" hidden="1" customHeigh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120"/>
      <c r="J127" s="120"/>
      <c r="K127" s="120"/>
      <c r="L127" s="120"/>
      <c r="M127" s="74">
        <v>500000</v>
      </c>
      <c r="N127" s="75" t="s">
        <v>39</v>
      </c>
      <c r="O127" s="75" t="s">
        <v>203</v>
      </c>
      <c r="P127" s="134" t="str">
        <f>IF(AND('331-CT'!$E$7=TH!H127,OR(N127="331",O127="331")),"x","")</f>
        <v/>
      </c>
    </row>
    <row r="128" spans="1:16" s="109" customFormat="1" ht="18" hidden="1" customHeigh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120"/>
      <c r="J128" s="120"/>
      <c r="K128" s="120"/>
      <c r="L128" s="120"/>
      <c r="M128" s="74">
        <v>20000000</v>
      </c>
      <c r="N128" s="75" t="s">
        <v>54</v>
      </c>
      <c r="O128" s="75" t="s">
        <v>39</v>
      </c>
      <c r="P128" s="134" t="str">
        <f>IF(AND('331-CT'!$E$7=TH!H128,OR(N128="331",O128="331")),"x","")</f>
        <v/>
      </c>
    </row>
    <row r="129" spans="1:16" s="109" customFormat="1" ht="18" hidden="1" customHeigh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120"/>
      <c r="J129" s="120"/>
      <c r="K129" s="120"/>
      <c r="L129" s="120"/>
      <c r="M129" s="74">
        <v>500000</v>
      </c>
      <c r="N129" s="75" t="s">
        <v>54</v>
      </c>
      <c r="O129" s="75" t="s">
        <v>39</v>
      </c>
      <c r="P129" s="134" t="str">
        <f>IF(AND('331-CT'!$E$7=TH!H129,OR(N129="331",O129="331")),"x","")</f>
        <v/>
      </c>
    </row>
    <row r="130" spans="1:16" s="109" customFormat="1" ht="18" hidden="1" customHeigh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122"/>
      <c r="J130" s="122"/>
      <c r="K130" s="122"/>
      <c r="L130" s="122"/>
      <c r="M130" s="74">
        <v>20000000</v>
      </c>
      <c r="N130" s="75" t="s">
        <v>241</v>
      </c>
      <c r="O130" s="75" t="s">
        <v>54</v>
      </c>
      <c r="P130" s="134" t="str">
        <f>IF(AND('331-CT'!$E$7=TH!H130,OR(N130="331",O130="331")),"x","")</f>
        <v/>
      </c>
    </row>
    <row r="131" spans="1:16" s="109" customFormat="1" ht="18" hidden="1" customHeigh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122"/>
      <c r="J131" s="122"/>
      <c r="K131" s="122"/>
      <c r="L131" s="122"/>
      <c r="M131" s="74">
        <v>20000</v>
      </c>
      <c r="N131" s="75" t="s">
        <v>241</v>
      </c>
      <c r="O131" s="75" t="s">
        <v>54</v>
      </c>
      <c r="P131" s="134" t="str">
        <f>IF(AND('331-CT'!$E$7=TH!H131,OR(N131="331",O131="331")),"x","")</f>
        <v/>
      </c>
    </row>
    <row r="132" spans="1:16" s="109" customFormat="1" ht="18" hidden="1" customHeigh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122"/>
      <c r="J132" s="122"/>
      <c r="K132" s="122"/>
      <c r="L132" s="122"/>
      <c r="M132" s="74">
        <v>2000</v>
      </c>
      <c r="N132" s="95" t="s">
        <v>241</v>
      </c>
      <c r="O132" s="75" t="s">
        <v>54</v>
      </c>
      <c r="P132" s="134" t="str">
        <f>IF(AND('331-CT'!$E$7=TH!H132,OR(N132="331",O132="331")),"x","")</f>
        <v/>
      </c>
    </row>
    <row r="133" spans="1:16" s="109" customFormat="1" ht="18" hidden="1" customHeigh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117"/>
      <c r="J133" s="117"/>
      <c r="K133" s="117"/>
      <c r="L133" s="117"/>
      <c r="M133" s="74">
        <v>1500000</v>
      </c>
      <c r="N133" s="75" t="s">
        <v>54</v>
      </c>
      <c r="O133" s="75" t="s">
        <v>203</v>
      </c>
      <c r="P133" s="134" t="str">
        <f>IF(AND('331-CT'!$E$7=TH!H133,OR(N133="331",O133="331")),"x","")</f>
        <v/>
      </c>
    </row>
    <row r="134" spans="1:16" s="109" customFormat="1" ht="18" hidden="1" customHeigh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122"/>
      <c r="J134" s="122"/>
      <c r="K134" s="122"/>
      <c r="L134" s="122"/>
      <c r="M134" s="74">
        <v>1500000</v>
      </c>
      <c r="N134" s="75" t="s">
        <v>241</v>
      </c>
      <c r="O134" s="75" t="s">
        <v>219</v>
      </c>
      <c r="P134" s="134" t="str">
        <f>IF(AND('331-CT'!$E$7=TH!H134,OR(N134="331",O134="331")),"x","")</f>
        <v/>
      </c>
    </row>
    <row r="135" spans="1:16" s="109" customFormat="1" ht="18" hidden="1" customHeigh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122"/>
      <c r="J135" s="122"/>
      <c r="K135" s="122"/>
      <c r="L135" s="122"/>
      <c r="M135" s="74">
        <v>1500000</v>
      </c>
      <c r="N135" s="75" t="s">
        <v>219</v>
      </c>
      <c r="O135" s="75" t="s">
        <v>54</v>
      </c>
      <c r="P135" s="134" t="str">
        <f>IF(AND('331-CT'!$E$7=TH!H135,OR(N135="331",O135="331")),"x","")</f>
        <v/>
      </c>
    </row>
    <row r="136" spans="1:16" s="109" customFormat="1" ht="18" hidden="1" customHeigh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122"/>
      <c r="J136" s="122"/>
      <c r="K136" s="122"/>
      <c r="L136" s="122"/>
      <c r="M136" s="74">
        <v>20000</v>
      </c>
      <c r="N136" s="75" t="s">
        <v>241</v>
      </c>
      <c r="O136" s="75" t="s">
        <v>54</v>
      </c>
      <c r="P136" s="134" t="str">
        <f>IF(AND('331-CT'!$E$7=TH!H136,OR(N136="331",O136="331")),"x","")</f>
        <v/>
      </c>
    </row>
    <row r="137" spans="1:16" s="109" customFormat="1" ht="18" hidden="1" customHeigh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122"/>
      <c r="J137" s="122"/>
      <c r="K137" s="122"/>
      <c r="L137" s="122"/>
      <c r="M137" s="74">
        <v>2000</v>
      </c>
      <c r="N137" s="95" t="s">
        <v>241</v>
      </c>
      <c r="O137" s="75" t="s">
        <v>54</v>
      </c>
      <c r="P137" s="134" t="str">
        <f>IF(AND('331-CT'!$E$7=TH!H137,OR(N137="331",O137="331")),"x","")</f>
        <v/>
      </c>
    </row>
    <row r="138" spans="1:16" s="109" customFormat="1" ht="18" hidden="1" customHeigh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122"/>
      <c r="J138" s="122"/>
      <c r="K138" s="122"/>
      <c r="L138" s="122"/>
      <c r="M138" s="74">
        <v>24000</v>
      </c>
      <c r="N138" s="75" t="s">
        <v>241</v>
      </c>
      <c r="O138" s="75" t="s">
        <v>54</v>
      </c>
      <c r="P138" s="134" t="str">
        <f>IF(AND('331-CT'!$E$7=TH!H138,OR(N138="331",O138="331")),"x","")</f>
        <v/>
      </c>
    </row>
    <row r="139" spans="1:16" s="109" customFormat="1" ht="18" hidden="1" customHeigh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122"/>
      <c r="J139" s="122"/>
      <c r="K139" s="122"/>
      <c r="L139" s="122"/>
      <c r="M139" s="74">
        <v>2400</v>
      </c>
      <c r="N139" s="95" t="s">
        <v>241</v>
      </c>
      <c r="O139" s="75" t="s">
        <v>54</v>
      </c>
      <c r="P139" s="134" t="str">
        <f>IF(AND('331-CT'!$E$7=TH!H139,OR(N139="331",O139="331")),"x","")</f>
        <v/>
      </c>
    </row>
    <row r="140" spans="1:16" s="109" customFormat="1" ht="18" hidden="1" customHeigh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122"/>
      <c r="J140" s="122"/>
      <c r="K140" s="122"/>
      <c r="L140" s="122"/>
      <c r="M140" s="74">
        <v>24000</v>
      </c>
      <c r="N140" s="75" t="s">
        <v>241</v>
      </c>
      <c r="O140" s="75" t="s">
        <v>54</v>
      </c>
      <c r="P140" s="134" t="str">
        <f>IF(AND('331-CT'!$E$7=TH!H140,OR(N140="331",O140="331")),"x","")</f>
        <v/>
      </c>
    </row>
    <row r="141" spans="1:16" s="109" customFormat="1" ht="18" hidden="1" customHeigh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122"/>
      <c r="J141" s="122"/>
      <c r="K141" s="122"/>
      <c r="L141" s="122"/>
      <c r="M141" s="74">
        <v>2400</v>
      </c>
      <c r="N141" s="95" t="s">
        <v>241</v>
      </c>
      <c r="O141" s="75" t="s">
        <v>54</v>
      </c>
      <c r="P141" s="134" t="str">
        <f>IF(AND('331-CT'!$E$7=TH!H141,OR(N141="331",O141="331")),"x","")</f>
        <v/>
      </c>
    </row>
    <row r="142" spans="1:16" s="109" customFormat="1" ht="18" hidden="1" customHeigh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122"/>
      <c r="J142" s="122"/>
      <c r="K142" s="122"/>
      <c r="L142" s="122"/>
      <c r="M142" s="74">
        <v>24000</v>
      </c>
      <c r="N142" s="75" t="s">
        <v>241</v>
      </c>
      <c r="O142" s="75" t="s">
        <v>54</v>
      </c>
      <c r="P142" s="134" t="str">
        <f>IF(AND('331-CT'!$E$7=TH!H142,OR(N142="331",O142="331")),"x","")</f>
        <v/>
      </c>
    </row>
    <row r="143" spans="1:16" s="109" customFormat="1" ht="18" hidden="1" customHeigh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122"/>
      <c r="J143" s="122"/>
      <c r="K143" s="122"/>
      <c r="L143" s="122"/>
      <c r="M143" s="74">
        <v>2400</v>
      </c>
      <c r="N143" s="95" t="s">
        <v>241</v>
      </c>
      <c r="O143" s="75" t="s">
        <v>54</v>
      </c>
      <c r="P143" s="134" t="str">
        <f>IF(AND('331-CT'!$E$7=TH!H143,OR(N143="331",O143="331")),"x","")</f>
        <v/>
      </c>
    </row>
    <row r="144" spans="1:16" s="109" customFormat="1" ht="18" hidden="1" customHeigh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122"/>
      <c r="J144" s="122"/>
      <c r="K144" s="122"/>
      <c r="L144" s="122"/>
      <c r="M144" s="74">
        <v>896500</v>
      </c>
      <c r="N144" s="75" t="s">
        <v>241</v>
      </c>
      <c r="O144" s="75" t="s">
        <v>203</v>
      </c>
      <c r="P144" s="134" t="str">
        <f>IF(AND('331-CT'!$E$7=TH!H144,OR(N144="331",O144="331")),"x","")</f>
        <v/>
      </c>
    </row>
    <row r="145" spans="1:16" s="109" customFormat="1" ht="18" hidden="1" customHeigh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122"/>
      <c r="J145" s="122"/>
      <c r="K145" s="122"/>
      <c r="L145" s="122"/>
      <c r="M145" s="74">
        <v>24000</v>
      </c>
      <c r="N145" s="75" t="s">
        <v>241</v>
      </c>
      <c r="O145" s="75" t="s">
        <v>54</v>
      </c>
      <c r="P145" s="134" t="str">
        <f>IF(AND('331-CT'!$E$7=TH!H145,OR(N145="331",O145="331")),"x","")</f>
        <v/>
      </c>
    </row>
    <row r="146" spans="1:16" s="109" customFormat="1" ht="18" hidden="1" customHeigh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122"/>
      <c r="J146" s="122"/>
      <c r="K146" s="122"/>
      <c r="L146" s="122"/>
      <c r="M146" s="74">
        <v>2400</v>
      </c>
      <c r="N146" s="95" t="s">
        <v>241</v>
      </c>
      <c r="O146" s="75" t="s">
        <v>54</v>
      </c>
      <c r="P146" s="134" t="str">
        <f>IF(AND('331-CT'!$E$7=TH!H146,OR(N146="331",O146="331")),"x","")</f>
        <v/>
      </c>
    </row>
    <row r="147" spans="1:16" s="109" customFormat="1" ht="18" hidden="1" customHeigh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122"/>
      <c r="J147" s="122"/>
      <c r="K147" s="122"/>
      <c r="L147" s="122"/>
      <c r="M147" s="74">
        <v>24000</v>
      </c>
      <c r="N147" s="75" t="s">
        <v>241</v>
      </c>
      <c r="O147" s="75" t="s">
        <v>54</v>
      </c>
      <c r="P147" s="134" t="str">
        <f>IF(AND('331-CT'!$E$7=TH!H147,OR(N147="331",O147="331")),"x","")</f>
        <v/>
      </c>
    </row>
    <row r="148" spans="1:16" s="109" customFormat="1" ht="18" hidden="1" customHeigh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122"/>
      <c r="J148" s="122"/>
      <c r="K148" s="122"/>
      <c r="L148" s="122"/>
      <c r="M148" s="74">
        <v>2400</v>
      </c>
      <c r="N148" s="95" t="s">
        <v>241</v>
      </c>
      <c r="O148" s="75" t="s">
        <v>54</v>
      </c>
      <c r="P148" s="134" t="str">
        <f>IF(AND('331-CT'!$E$7=TH!H148,OR(N148="331",O148="331")),"x","")</f>
        <v/>
      </c>
    </row>
    <row r="149" spans="1:16" s="109" customFormat="1" ht="18" hidden="1" customHeigh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122"/>
      <c r="J149" s="122"/>
      <c r="K149" s="122"/>
      <c r="L149" s="122"/>
      <c r="M149" s="74">
        <v>24000</v>
      </c>
      <c r="N149" s="75" t="s">
        <v>241</v>
      </c>
      <c r="O149" s="75" t="s">
        <v>54</v>
      </c>
      <c r="P149" s="134" t="str">
        <f>IF(AND('331-CT'!$E$7=TH!H149,OR(N149="331",O149="331")),"x","")</f>
        <v/>
      </c>
    </row>
    <row r="150" spans="1:16" s="109" customFormat="1" ht="18" hidden="1" customHeigh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122"/>
      <c r="J150" s="122"/>
      <c r="K150" s="122"/>
      <c r="L150" s="122"/>
      <c r="M150" s="74">
        <v>2400</v>
      </c>
      <c r="N150" s="95" t="s">
        <v>241</v>
      </c>
      <c r="O150" s="75" t="s">
        <v>54</v>
      </c>
      <c r="P150" s="134" t="str">
        <f>IF(AND('331-CT'!$E$7=TH!H150,OR(N150="331",O150="331")),"x","")</f>
        <v/>
      </c>
    </row>
    <row r="151" spans="1:16" s="109" customFormat="1" ht="18" hidden="1" customHeigh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117"/>
      <c r="J151" s="117"/>
      <c r="K151" s="117"/>
      <c r="L151" s="117"/>
      <c r="M151" s="74">
        <v>51000000</v>
      </c>
      <c r="N151" s="75" t="s">
        <v>54</v>
      </c>
      <c r="O151" s="75" t="s">
        <v>203</v>
      </c>
      <c r="P151" s="134" t="str">
        <f>IF(AND('331-CT'!$E$7=TH!H151,OR(N151="331",O151="331")),"x","")</f>
        <v/>
      </c>
    </row>
    <row r="152" spans="1:16" s="109" customFormat="1" ht="18" hidden="1" customHeigh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122"/>
      <c r="J152" s="122"/>
      <c r="K152" s="122"/>
      <c r="L152" s="122"/>
      <c r="M152" s="74">
        <v>50000000</v>
      </c>
      <c r="N152" s="75" t="s">
        <v>18</v>
      </c>
      <c r="O152" s="75" t="s">
        <v>54</v>
      </c>
      <c r="P152" s="134" t="str">
        <f>IF(AND('331-CT'!$E$7=TH!H152,OR(N152="331",O152="331")),"x","")</f>
        <v/>
      </c>
    </row>
    <row r="153" spans="1:16" s="109" customFormat="1" ht="18" hidden="1" customHeigh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122"/>
      <c r="J153" s="122"/>
      <c r="K153" s="122"/>
      <c r="L153" s="122"/>
      <c r="M153" s="74">
        <v>25000</v>
      </c>
      <c r="N153" s="75" t="s">
        <v>241</v>
      </c>
      <c r="O153" s="75" t="s">
        <v>54</v>
      </c>
      <c r="P153" s="134" t="str">
        <f>IF(AND('331-CT'!$E$7=TH!H153,OR(N153="331",O153="331")),"x","")</f>
        <v/>
      </c>
    </row>
    <row r="154" spans="1:16" s="109" customFormat="1" ht="18" hidden="1" customHeigh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122"/>
      <c r="J154" s="122"/>
      <c r="K154" s="122"/>
      <c r="L154" s="122"/>
      <c r="M154" s="74">
        <v>2500</v>
      </c>
      <c r="N154" s="95" t="s">
        <v>241</v>
      </c>
      <c r="O154" s="75" t="s">
        <v>54</v>
      </c>
      <c r="P154" s="134" t="str">
        <f>IF(AND('331-CT'!$E$7=TH!H154,OR(N154="331",O154="331")),"x","")</f>
        <v/>
      </c>
    </row>
    <row r="155" spans="1:16" s="109" customFormat="1" ht="18" hidden="1" customHeigh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122"/>
      <c r="J155" s="122"/>
      <c r="K155" s="122"/>
      <c r="L155" s="122"/>
      <c r="M155" s="74">
        <v>24000</v>
      </c>
      <c r="N155" s="75" t="s">
        <v>241</v>
      </c>
      <c r="O155" s="75" t="s">
        <v>54</v>
      </c>
      <c r="P155" s="134" t="str">
        <f>IF(AND('331-CT'!$E$7=TH!H155,OR(N155="331",O155="331")),"x","")</f>
        <v/>
      </c>
    </row>
    <row r="156" spans="1:16" s="109" customFormat="1" ht="18" hidden="1" customHeigh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122"/>
      <c r="J156" s="122"/>
      <c r="K156" s="122"/>
      <c r="L156" s="122"/>
      <c r="M156" s="74">
        <v>2400</v>
      </c>
      <c r="N156" s="95" t="s">
        <v>241</v>
      </c>
      <c r="O156" s="75" t="s">
        <v>54</v>
      </c>
      <c r="P156" s="134" t="str">
        <f>IF(AND('331-CT'!$E$7=TH!H156,OR(N156="331",O156="331")),"x","")</f>
        <v/>
      </c>
    </row>
    <row r="157" spans="1:16" s="109" customFormat="1" ht="18" hidden="1" customHeigh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122"/>
      <c r="J157" s="122"/>
      <c r="K157" s="122"/>
      <c r="L157" s="122"/>
      <c r="M157" s="74">
        <v>24000</v>
      </c>
      <c r="N157" s="75" t="s">
        <v>241</v>
      </c>
      <c r="O157" s="75" t="s">
        <v>54</v>
      </c>
      <c r="P157" s="134" t="str">
        <f>IF(AND('331-CT'!$E$7=TH!H157,OR(N157="331",O157="331")),"x","")</f>
        <v/>
      </c>
    </row>
    <row r="158" spans="1:16" s="109" customFormat="1" ht="18" hidden="1" customHeigh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122"/>
      <c r="J158" s="122"/>
      <c r="K158" s="122"/>
      <c r="L158" s="122"/>
      <c r="M158" s="74">
        <v>2400</v>
      </c>
      <c r="N158" s="95" t="s">
        <v>241</v>
      </c>
      <c r="O158" s="75" t="s">
        <v>54</v>
      </c>
      <c r="P158" s="134" t="str">
        <f>IF(AND('331-CT'!$E$7=TH!H158,OR(N158="331",O158="331")),"x","")</f>
        <v/>
      </c>
    </row>
    <row r="159" spans="1:16" s="109" customFormat="1" ht="18" hidden="1" customHeigh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122"/>
      <c r="J159" s="122"/>
      <c r="K159" s="122"/>
      <c r="L159" s="122"/>
      <c r="M159" s="74">
        <v>24000</v>
      </c>
      <c r="N159" s="75" t="s">
        <v>241</v>
      </c>
      <c r="O159" s="75" t="s">
        <v>54</v>
      </c>
      <c r="P159" s="134" t="str">
        <f>IF(AND('331-CT'!$E$7=TH!H159,OR(N159="331",O159="331")),"x","")</f>
        <v/>
      </c>
    </row>
    <row r="160" spans="1:16" s="109" customFormat="1" ht="18" hidden="1" customHeigh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122"/>
      <c r="J160" s="122"/>
      <c r="K160" s="122"/>
      <c r="L160" s="122"/>
      <c r="M160" s="74">
        <v>2400</v>
      </c>
      <c r="N160" s="95" t="s">
        <v>241</v>
      </c>
      <c r="O160" s="75" t="s">
        <v>54</v>
      </c>
      <c r="P160" s="134" t="str">
        <f>IF(AND('331-CT'!$E$7=TH!H160,OR(N160="331",O160="331")),"x","")</f>
        <v/>
      </c>
    </row>
    <row r="161" spans="1:16" s="109" customFormat="1" ht="18" hidden="1" customHeigh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120"/>
      <c r="J161" s="120"/>
      <c r="K161" s="120"/>
      <c r="L161" s="120"/>
      <c r="M161" s="74">
        <v>30000000</v>
      </c>
      <c r="N161" s="75" t="s">
        <v>39</v>
      </c>
      <c r="O161" s="75" t="s">
        <v>203</v>
      </c>
      <c r="P161" s="134" t="str">
        <f>IF(AND('331-CT'!$E$7=TH!H161,OR(N161="331",O161="331")),"x","")</f>
        <v/>
      </c>
    </row>
    <row r="162" spans="1:16" s="109" customFormat="1" ht="18" hidden="1" customHeigh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120"/>
      <c r="J162" s="120"/>
      <c r="K162" s="120"/>
      <c r="L162" s="120"/>
      <c r="M162" s="74">
        <v>30000000</v>
      </c>
      <c r="N162" s="75" t="s">
        <v>54</v>
      </c>
      <c r="O162" s="75" t="s">
        <v>39</v>
      </c>
      <c r="P162" s="134" t="str">
        <f>IF(AND('331-CT'!$E$7=TH!H162,OR(N162="331",O162="331")),"x","")</f>
        <v/>
      </c>
    </row>
    <row r="163" spans="1:16" s="109" customFormat="1" ht="18" hidden="1" customHeigh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122"/>
      <c r="J163" s="122"/>
      <c r="K163" s="122"/>
      <c r="L163" s="122"/>
      <c r="M163" s="74">
        <v>29920000</v>
      </c>
      <c r="N163" s="75" t="s">
        <v>18</v>
      </c>
      <c r="O163" s="75" t="s">
        <v>54</v>
      </c>
      <c r="P163" s="134" t="str">
        <f>IF(AND('331-CT'!$E$7=TH!H163,OR(N163="331",O163="331")),"x","")</f>
        <v/>
      </c>
    </row>
    <row r="164" spans="1:16" s="109" customFormat="1" ht="18" hidden="1" customHeigh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122"/>
      <c r="J164" s="122"/>
      <c r="K164" s="122"/>
      <c r="L164" s="122"/>
      <c r="M164" s="74">
        <v>20000</v>
      </c>
      <c r="N164" s="75" t="s">
        <v>241</v>
      </c>
      <c r="O164" s="75" t="s">
        <v>54</v>
      </c>
      <c r="P164" s="134" t="str">
        <f>IF(AND('331-CT'!$E$7=TH!H164,OR(N164="331",O164="331")),"x","")</f>
        <v/>
      </c>
    </row>
    <row r="165" spans="1:16" s="109" customFormat="1" ht="18" hidden="1" customHeigh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122"/>
      <c r="J165" s="122"/>
      <c r="K165" s="122"/>
      <c r="L165" s="122"/>
      <c r="M165" s="74">
        <v>2000</v>
      </c>
      <c r="N165" s="95" t="s">
        <v>241</v>
      </c>
      <c r="O165" s="75" t="s">
        <v>54</v>
      </c>
      <c r="P165" s="134" t="str">
        <f>IF(AND('331-CT'!$E$7=TH!H165,OR(N165="331",O165="331")),"x","")</f>
        <v/>
      </c>
    </row>
    <row r="166" spans="1:16" s="109" customFormat="1" ht="18" hidden="1" customHeigh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122"/>
      <c r="J166" s="122"/>
      <c r="K166" s="122"/>
      <c r="L166" s="122"/>
      <c r="M166" s="74">
        <v>24000</v>
      </c>
      <c r="N166" s="75" t="s">
        <v>241</v>
      </c>
      <c r="O166" s="75" t="s">
        <v>54</v>
      </c>
      <c r="P166" s="134" t="str">
        <f>IF(AND('331-CT'!$E$7=TH!H166,OR(N166="331",O166="331")),"x","")</f>
        <v/>
      </c>
    </row>
    <row r="167" spans="1:16" s="109" customFormat="1" ht="18" hidden="1" customHeigh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122"/>
      <c r="J167" s="122"/>
      <c r="K167" s="122"/>
      <c r="L167" s="122"/>
      <c r="M167" s="74">
        <v>2400</v>
      </c>
      <c r="N167" s="95" t="s">
        <v>241</v>
      </c>
      <c r="O167" s="75" t="s">
        <v>54</v>
      </c>
      <c r="P167" s="134" t="str">
        <f>IF(AND('331-CT'!$E$7=TH!H167,OR(N167="331",O167="331")),"x","")</f>
        <v/>
      </c>
    </row>
    <row r="168" spans="1:16" s="109" customFormat="1" ht="18" hidden="1" customHeigh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122"/>
      <c r="J168" s="122"/>
      <c r="K168" s="122"/>
      <c r="L168" s="122"/>
      <c r="M168" s="74">
        <v>24000</v>
      </c>
      <c r="N168" s="75" t="s">
        <v>241</v>
      </c>
      <c r="O168" s="75" t="s">
        <v>54</v>
      </c>
      <c r="P168" s="134" t="str">
        <f>IF(AND('331-CT'!$E$7=TH!H168,OR(N168="331",O168="331")),"x","")</f>
        <v/>
      </c>
    </row>
    <row r="169" spans="1:16" s="109" customFormat="1" ht="18" hidden="1" customHeigh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122"/>
      <c r="J169" s="122"/>
      <c r="K169" s="122"/>
      <c r="L169" s="122"/>
      <c r="M169" s="74">
        <v>2400</v>
      </c>
      <c r="N169" s="95" t="s">
        <v>241</v>
      </c>
      <c r="O169" s="75" t="s">
        <v>54</v>
      </c>
      <c r="P169" s="134" t="str">
        <f>IF(AND('331-CT'!$E$7=TH!H169,OR(N169="331",O169="331")),"x","")</f>
        <v/>
      </c>
    </row>
    <row r="170" spans="1:16" s="109" customFormat="1" ht="18" hidden="1" customHeigh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122"/>
      <c r="J170" s="122"/>
      <c r="K170" s="122"/>
      <c r="L170" s="122"/>
      <c r="M170" s="74">
        <v>24000</v>
      </c>
      <c r="N170" s="75" t="s">
        <v>241</v>
      </c>
      <c r="O170" s="75" t="s">
        <v>54</v>
      </c>
      <c r="P170" s="134" t="str">
        <f>IF(AND('331-CT'!$E$7=TH!H170,OR(N170="331",O170="331")),"x","")</f>
        <v/>
      </c>
    </row>
    <row r="171" spans="1:16" s="109" customFormat="1" ht="18" hidden="1" customHeigh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122"/>
      <c r="J171" s="122"/>
      <c r="K171" s="122"/>
      <c r="L171" s="122"/>
      <c r="M171" s="74">
        <v>2400</v>
      </c>
      <c r="N171" s="95" t="s">
        <v>241</v>
      </c>
      <c r="O171" s="75" t="s">
        <v>54</v>
      </c>
      <c r="P171" s="134" t="str">
        <f>IF(AND('331-CT'!$E$7=TH!H171,OR(N171="331",O171="331")),"x","")</f>
        <v/>
      </c>
    </row>
    <row r="172" spans="1:16" s="109" customFormat="1" ht="18" hidden="1" customHeigh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122"/>
      <c r="J172" s="122"/>
      <c r="K172" s="122"/>
      <c r="L172" s="122"/>
      <c r="M172" s="74">
        <v>1500000</v>
      </c>
      <c r="N172" s="75" t="s">
        <v>54</v>
      </c>
      <c r="O172" s="75" t="s">
        <v>203</v>
      </c>
      <c r="P172" s="134" t="str">
        <f>IF(AND('331-CT'!$E$7=TH!H172,OR(N172="331",O172="331")),"x","")</f>
        <v/>
      </c>
    </row>
    <row r="173" spans="1:16" s="109" customFormat="1" ht="18" hidden="1" customHeigh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122"/>
      <c r="J173" s="122"/>
      <c r="K173" s="122"/>
      <c r="L173" s="122"/>
      <c r="M173" s="74">
        <v>1500000</v>
      </c>
      <c r="N173" s="75" t="s">
        <v>241</v>
      </c>
      <c r="O173" s="75" t="s">
        <v>219</v>
      </c>
      <c r="P173" s="134" t="str">
        <f>IF(AND('331-CT'!$E$7=TH!H173,OR(N173="331",O173="331")),"x","")</f>
        <v/>
      </c>
    </row>
    <row r="174" spans="1:16" s="109" customFormat="1" ht="18" hidden="1" customHeigh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122"/>
      <c r="J174" s="122"/>
      <c r="K174" s="122"/>
      <c r="L174" s="122"/>
      <c r="M174" s="74">
        <v>1500000</v>
      </c>
      <c r="N174" s="75" t="s">
        <v>212</v>
      </c>
      <c r="O174" s="75" t="s">
        <v>54</v>
      </c>
      <c r="P174" s="134" t="str">
        <f>IF(AND('331-CT'!$E$7=TH!H174,OR(N174="331",O174="331")),"x","")</f>
        <v/>
      </c>
    </row>
    <row r="175" spans="1:16" s="109" customFormat="1" ht="18" hidden="1" customHeigh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122"/>
      <c r="J175" s="122"/>
      <c r="K175" s="122"/>
      <c r="L175" s="122"/>
      <c r="M175" s="74">
        <v>30000</v>
      </c>
      <c r="N175" s="75" t="s">
        <v>241</v>
      </c>
      <c r="O175" s="75" t="s">
        <v>54</v>
      </c>
      <c r="P175" s="134" t="str">
        <f>IF(AND('331-CT'!$E$7=TH!H175,OR(N175="331",O175="331")),"x","")</f>
        <v/>
      </c>
    </row>
    <row r="176" spans="1:16" s="109" customFormat="1" ht="18" hidden="1" customHeigh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122"/>
      <c r="J176" s="122"/>
      <c r="K176" s="122"/>
      <c r="L176" s="122"/>
      <c r="M176" s="74">
        <v>3000</v>
      </c>
      <c r="N176" s="95" t="s">
        <v>241</v>
      </c>
      <c r="O176" s="75" t="s">
        <v>54</v>
      </c>
      <c r="P176" s="134" t="str">
        <f>IF(AND('331-CT'!$E$7=TH!H176,OR(N176="331",O176="331")),"x","")</f>
        <v/>
      </c>
    </row>
    <row r="177" spans="1:16" s="109" customFormat="1" ht="18" hidden="1" customHeigh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122"/>
      <c r="J177" s="122"/>
      <c r="K177" s="122"/>
      <c r="L177" s="122"/>
      <c r="M177" s="74">
        <v>1500000</v>
      </c>
      <c r="N177" s="75" t="s">
        <v>54</v>
      </c>
      <c r="O177" s="75" t="s">
        <v>212</v>
      </c>
      <c r="P177" s="134" t="str">
        <f>IF(AND('331-CT'!$E$7=TH!H177,OR(N177="331",O177="331")),"x","")</f>
        <v/>
      </c>
    </row>
    <row r="178" spans="1:16" s="109" customFormat="1" ht="18" hidden="1" customHeigh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122"/>
      <c r="J178" s="122"/>
      <c r="K178" s="122"/>
      <c r="L178" s="122"/>
      <c r="M178" s="74">
        <v>1500000</v>
      </c>
      <c r="N178" s="75" t="s">
        <v>219</v>
      </c>
      <c r="O178" s="75" t="s">
        <v>54</v>
      </c>
      <c r="P178" s="134" t="str">
        <f>IF(AND('331-CT'!$E$7=TH!H178,OR(N178="331",O178="331")),"x","")</f>
        <v/>
      </c>
    </row>
    <row r="179" spans="1:16" s="109" customFormat="1" ht="18" hidden="1" customHeigh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122"/>
      <c r="J179" s="122"/>
      <c r="K179" s="122"/>
      <c r="L179" s="122"/>
      <c r="M179" s="74">
        <v>20000</v>
      </c>
      <c r="N179" s="75" t="s">
        <v>241</v>
      </c>
      <c r="O179" s="75" t="s">
        <v>54</v>
      </c>
      <c r="P179" s="134" t="str">
        <f>IF(AND('331-CT'!$E$7=TH!H179,OR(N179="331",O179="331")),"x","")</f>
        <v/>
      </c>
    </row>
    <row r="180" spans="1:16" s="109" customFormat="1" ht="18" hidden="1" customHeigh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122"/>
      <c r="J180" s="122"/>
      <c r="K180" s="122"/>
      <c r="L180" s="122"/>
      <c r="M180" s="74">
        <v>2000</v>
      </c>
      <c r="N180" s="95" t="s">
        <v>241</v>
      </c>
      <c r="O180" s="75" t="s">
        <v>54</v>
      </c>
      <c r="P180" s="134" t="str">
        <f>IF(AND('331-CT'!$E$7=TH!H180,OR(N180="331",O180="331")),"x","")</f>
        <v/>
      </c>
    </row>
    <row r="181" spans="1:16" s="109" customFormat="1" ht="18" hidden="1" customHeigh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122"/>
      <c r="J181" s="122"/>
      <c r="K181" s="122"/>
      <c r="L181" s="122"/>
      <c r="M181" s="74">
        <v>24000</v>
      </c>
      <c r="N181" s="75" t="s">
        <v>241</v>
      </c>
      <c r="O181" s="75" t="s">
        <v>54</v>
      </c>
      <c r="P181" s="134" t="str">
        <f>IF(AND('331-CT'!$E$7=TH!H181,OR(N181="331",O181="331")),"x","")</f>
        <v/>
      </c>
    </row>
    <row r="182" spans="1:16" s="109" customFormat="1" ht="18" hidden="1" customHeigh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122"/>
      <c r="J182" s="122"/>
      <c r="K182" s="122"/>
      <c r="L182" s="122"/>
      <c r="M182" s="74">
        <v>2400</v>
      </c>
      <c r="N182" s="95" t="s">
        <v>241</v>
      </c>
      <c r="O182" s="75" t="s">
        <v>54</v>
      </c>
      <c r="P182" s="134" t="str">
        <f>IF(AND('331-CT'!$E$7=TH!H182,OR(N182="331",O182="331")),"x","")</f>
        <v/>
      </c>
    </row>
    <row r="183" spans="1:16" s="109" customFormat="1" ht="18" hidden="1" customHeigh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122"/>
      <c r="J183" s="122"/>
      <c r="K183" s="122"/>
      <c r="L183" s="122"/>
      <c r="M183" s="74">
        <v>24000</v>
      </c>
      <c r="N183" s="75" t="s">
        <v>241</v>
      </c>
      <c r="O183" s="75" t="s">
        <v>54</v>
      </c>
      <c r="P183" s="134" t="str">
        <f>IF(AND('331-CT'!$E$7=TH!H183,OR(N183="331",O183="331")),"x","")</f>
        <v/>
      </c>
    </row>
    <row r="184" spans="1:16" s="109" customFormat="1" ht="18" hidden="1" customHeigh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122"/>
      <c r="J184" s="122"/>
      <c r="K184" s="122"/>
      <c r="L184" s="122"/>
      <c r="M184" s="74">
        <v>2400</v>
      </c>
      <c r="N184" s="95" t="s">
        <v>241</v>
      </c>
      <c r="O184" s="75" t="s">
        <v>54</v>
      </c>
      <c r="P184" s="134" t="str">
        <f>IF(AND('331-CT'!$E$7=TH!H184,OR(N184="331",O184="331")),"x","")</f>
        <v/>
      </c>
    </row>
    <row r="185" spans="1:16" s="109" customFormat="1" ht="18" hidden="1" customHeigh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122"/>
      <c r="J185" s="122"/>
      <c r="K185" s="122"/>
      <c r="L185" s="122"/>
      <c r="M185" s="74">
        <v>24000</v>
      </c>
      <c r="N185" s="75" t="s">
        <v>241</v>
      </c>
      <c r="O185" s="75" t="s">
        <v>54</v>
      </c>
      <c r="P185" s="134" t="str">
        <f>IF(AND('331-CT'!$E$7=TH!H185,OR(N185="331",O185="331")),"x","")</f>
        <v/>
      </c>
    </row>
    <row r="186" spans="1:16" s="109" customFormat="1" ht="18" hidden="1" customHeigh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122"/>
      <c r="J186" s="122"/>
      <c r="K186" s="122"/>
      <c r="L186" s="122"/>
      <c r="M186" s="74">
        <v>2400</v>
      </c>
      <c r="N186" s="95" t="s">
        <v>241</v>
      </c>
      <c r="O186" s="75" t="s">
        <v>54</v>
      </c>
      <c r="P186" s="134" t="str">
        <f>IF(AND('331-CT'!$E$7=TH!H186,OR(N186="331",O186="331")),"x","")</f>
        <v/>
      </c>
    </row>
    <row r="187" spans="1:16" s="109" customFormat="1" ht="18" hidden="1" customHeigh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122"/>
      <c r="J187" s="122"/>
      <c r="K187" s="122"/>
      <c r="L187" s="122"/>
      <c r="M187" s="74">
        <v>30000</v>
      </c>
      <c r="N187" s="75" t="s">
        <v>241</v>
      </c>
      <c r="O187" s="75" t="s">
        <v>54</v>
      </c>
      <c r="P187" s="134" t="str">
        <f>IF(AND('331-CT'!$E$7=TH!H187,OR(N187="331",O187="331")),"x","")</f>
        <v/>
      </c>
    </row>
    <row r="188" spans="1:16" s="109" customFormat="1" ht="18" hidden="1" customHeigh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122"/>
      <c r="J188" s="122"/>
      <c r="K188" s="122"/>
      <c r="L188" s="122"/>
      <c r="M188" s="74">
        <v>3000</v>
      </c>
      <c r="N188" s="95" t="s">
        <v>241</v>
      </c>
      <c r="O188" s="75" t="s">
        <v>54</v>
      </c>
      <c r="P188" s="134" t="str">
        <f>IF(AND('331-CT'!$E$7=TH!H188,OR(N188="331",O188="331")),"x","")</f>
        <v/>
      </c>
    </row>
    <row r="189" spans="1:16" s="109" customFormat="1" ht="18" hidden="1" customHeigh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122"/>
      <c r="J189" s="122"/>
      <c r="K189" s="122"/>
      <c r="L189" s="122"/>
      <c r="M189" s="74">
        <v>30000</v>
      </c>
      <c r="N189" s="75" t="s">
        <v>241</v>
      </c>
      <c r="O189" s="75" t="s">
        <v>54</v>
      </c>
      <c r="P189" s="134" t="str">
        <f>IF(AND('331-CT'!$E$7=TH!H189,OR(N189="331",O189="331")),"x","")</f>
        <v/>
      </c>
    </row>
    <row r="190" spans="1:16" s="109" customFormat="1" ht="18" hidden="1" customHeigh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122"/>
      <c r="J190" s="122"/>
      <c r="K190" s="122"/>
      <c r="L190" s="122"/>
      <c r="M190" s="74">
        <v>3000</v>
      </c>
      <c r="N190" s="95" t="s">
        <v>241</v>
      </c>
      <c r="O190" s="75" t="s">
        <v>54</v>
      </c>
      <c r="P190" s="134" t="str">
        <f>IF(AND('331-CT'!$E$7=TH!H190,OR(N190="331",O190="331")),"x","")</f>
        <v/>
      </c>
    </row>
    <row r="191" spans="1:16" s="109" customFormat="1" ht="18" hidden="1" customHeigh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122"/>
      <c r="J191" s="122"/>
      <c r="K191" s="122"/>
      <c r="L191" s="122"/>
      <c r="M191" s="74">
        <v>30000</v>
      </c>
      <c r="N191" s="75" t="s">
        <v>241</v>
      </c>
      <c r="O191" s="75" t="s">
        <v>54</v>
      </c>
      <c r="P191" s="134" t="str">
        <f>IF(AND('331-CT'!$E$7=TH!H191,OR(N191="331",O191="331")),"x","")</f>
        <v/>
      </c>
    </row>
    <row r="192" spans="1:16" s="109" customFormat="1" ht="18" hidden="1" customHeigh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122"/>
      <c r="J192" s="122"/>
      <c r="K192" s="122"/>
      <c r="L192" s="122"/>
      <c r="M192" s="74">
        <v>3000</v>
      </c>
      <c r="N192" s="95" t="s">
        <v>241</v>
      </c>
      <c r="O192" s="75" t="s">
        <v>54</v>
      </c>
      <c r="P192" s="134" t="str">
        <f>IF(AND('331-CT'!$E$7=TH!H192,OR(N192="331",O192="331")),"x","")</f>
        <v/>
      </c>
    </row>
    <row r="193" spans="1:16" s="109" customFormat="1" ht="18" hidden="1" customHeigh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122"/>
      <c r="J193" s="122"/>
      <c r="K193" s="122"/>
      <c r="L193" s="122"/>
      <c r="M193" s="74">
        <v>100000</v>
      </c>
      <c r="N193" s="75" t="s">
        <v>241</v>
      </c>
      <c r="O193" s="75" t="s">
        <v>54</v>
      </c>
      <c r="P193" s="134" t="str">
        <f>IF(AND('331-CT'!$E$7=TH!H193,OR(N193="331",O193="331")),"x","")</f>
        <v/>
      </c>
    </row>
    <row r="194" spans="1:16" s="109" customFormat="1" ht="18" hidden="1" customHeigh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122"/>
      <c r="J194" s="122"/>
      <c r="K194" s="122"/>
      <c r="L194" s="122"/>
      <c r="M194" s="74">
        <v>10000</v>
      </c>
      <c r="N194" s="95" t="s">
        <v>241</v>
      </c>
      <c r="O194" s="75" t="s">
        <v>54</v>
      </c>
      <c r="P194" s="134" t="str">
        <f>IF(AND('331-CT'!$E$7=TH!H194,OR(N194="331",O194="331")),"x","")</f>
        <v/>
      </c>
    </row>
    <row r="195" spans="1:16" s="109" customFormat="1" ht="18" hidden="1" customHeigh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122"/>
      <c r="J195" s="122"/>
      <c r="K195" s="122"/>
      <c r="L195" s="122"/>
      <c r="M195" s="74">
        <v>30000</v>
      </c>
      <c r="N195" s="75" t="s">
        <v>241</v>
      </c>
      <c r="O195" s="75" t="s">
        <v>54</v>
      </c>
      <c r="P195" s="134" t="str">
        <f>IF(AND('331-CT'!$E$7=TH!H195,OR(N195="331",O195="331")),"x","")</f>
        <v/>
      </c>
    </row>
    <row r="196" spans="1:16" s="109" customFormat="1" ht="18" hidden="1" customHeigh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122"/>
      <c r="J196" s="122"/>
      <c r="K196" s="122"/>
      <c r="L196" s="122"/>
      <c r="M196" s="74">
        <v>3000</v>
      </c>
      <c r="N196" s="95" t="s">
        <v>241</v>
      </c>
      <c r="O196" s="75" t="s">
        <v>54</v>
      </c>
      <c r="P196" s="134" t="str">
        <f>IF(AND('331-CT'!$E$7=TH!H196,OR(N196="331",O196="331")),"x","")</f>
        <v/>
      </c>
    </row>
    <row r="197" spans="1:16" s="109" customFormat="1" ht="18" hidden="1" customHeigh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122"/>
      <c r="J197" s="122"/>
      <c r="K197" s="122"/>
      <c r="L197" s="122"/>
      <c r="M197" s="74">
        <v>30000</v>
      </c>
      <c r="N197" s="75" t="s">
        <v>241</v>
      </c>
      <c r="O197" s="75" t="s">
        <v>54</v>
      </c>
      <c r="P197" s="134" t="str">
        <f>IF(AND('331-CT'!$E$7=TH!H197,OR(N197="331",O197="331")),"x","")</f>
        <v/>
      </c>
    </row>
    <row r="198" spans="1:16" s="109" customFormat="1" ht="18" hidden="1" customHeigh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122"/>
      <c r="J198" s="122"/>
      <c r="K198" s="122"/>
      <c r="L198" s="122"/>
      <c r="M198" s="74">
        <v>3000</v>
      </c>
      <c r="N198" s="95" t="s">
        <v>241</v>
      </c>
      <c r="O198" s="75" t="s">
        <v>54</v>
      </c>
      <c r="P198" s="134" t="str">
        <f>IF(AND('331-CT'!$E$7=TH!H198,OR(N198="331",O198="331")),"x","")</f>
        <v/>
      </c>
    </row>
    <row r="199" spans="1:16" s="109" customFormat="1" ht="18" hidden="1" customHeigh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122"/>
      <c r="J199" s="122"/>
      <c r="K199" s="122"/>
      <c r="L199" s="122"/>
      <c r="M199" s="74">
        <v>30000</v>
      </c>
      <c r="N199" s="75" t="s">
        <v>241</v>
      </c>
      <c r="O199" s="75" t="s">
        <v>54</v>
      </c>
      <c r="P199" s="134" t="str">
        <f>IF(AND('331-CT'!$E$7=TH!H199,OR(N199="331",O199="331")),"x","")</f>
        <v/>
      </c>
    </row>
    <row r="200" spans="1:16" s="109" customFormat="1" ht="18" hidden="1" customHeigh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122"/>
      <c r="J200" s="122"/>
      <c r="K200" s="122"/>
      <c r="L200" s="122"/>
      <c r="M200" s="74">
        <v>3000</v>
      </c>
      <c r="N200" s="95" t="s">
        <v>241</v>
      </c>
      <c r="O200" s="75" t="s">
        <v>54</v>
      </c>
      <c r="P200" s="134" t="str">
        <f>IF(AND('331-CT'!$E$7=TH!H200,OR(N200="331",O200="331")),"x","")</f>
        <v/>
      </c>
    </row>
    <row r="201" spans="1:16" s="109" customFormat="1" ht="18" hidden="1" customHeigh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122"/>
      <c r="J201" s="122"/>
      <c r="K201" s="122"/>
      <c r="L201" s="122"/>
      <c r="M201" s="74">
        <v>30000</v>
      </c>
      <c r="N201" s="75" t="s">
        <v>241</v>
      </c>
      <c r="O201" s="75" t="s">
        <v>54</v>
      </c>
      <c r="P201" s="134" t="str">
        <f>IF(AND('331-CT'!$E$7=TH!H201,OR(N201="331",O201="331")),"x","")</f>
        <v/>
      </c>
    </row>
    <row r="202" spans="1:16" s="109" customFormat="1" ht="18" hidden="1" customHeigh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122"/>
      <c r="J202" s="122"/>
      <c r="K202" s="122"/>
      <c r="L202" s="122"/>
      <c r="M202" s="74">
        <v>3000</v>
      </c>
      <c r="N202" s="95" t="s">
        <v>241</v>
      </c>
      <c r="O202" s="75" t="s">
        <v>54</v>
      </c>
      <c r="P202" s="134" t="str">
        <f>IF(AND('331-CT'!$E$7=TH!H202,OR(N202="331",O202="331")),"x","")</f>
        <v/>
      </c>
    </row>
    <row r="203" spans="1:16" s="109" customFormat="1" ht="18" hidden="1" customHeigh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122"/>
      <c r="J203" s="122"/>
      <c r="K203" s="122"/>
      <c r="L203" s="122"/>
      <c r="M203" s="74">
        <v>30000</v>
      </c>
      <c r="N203" s="75" t="s">
        <v>241</v>
      </c>
      <c r="O203" s="75" t="s">
        <v>54</v>
      </c>
      <c r="P203" s="134" t="str">
        <f>IF(AND('331-CT'!$E$7=TH!H203,OR(N203="331",O203="331")),"x","")</f>
        <v/>
      </c>
    </row>
    <row r="204" spans="1:16" s="109" customFormat="1" ht="18" hidden="1" customHeigh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122"/>
      <c r="J204" s="122"/>
      <c r="K204" s="122"/>
      <c r="L204" s="122"/>
      <c r="M204" s="74">
        <v>3000</v>
      </c>
      <c r="N204" s="95" t="s">
        <v>241</v>
      </c>
      <c r="O204" s="75" t="s">
        <v>54</v>
      </c>
      <c r="P204" s="134" t="str">
        <f>IF(AND('331-CT'!$E$7=TH!H204,OR(N204="331",O204="331")),"x","")</f>
        <v/>
      </c>
    </row>
    <row r="205" spans="1:16" s="109" customFormat="1" ht="18" hidden="1" customHeigh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122"/>
      <c r="J205" s="122"/>
      <c r="K205" s="122"/>
      <c r="L205" s="122"/>
      <c r="M205" s="74">
        <v>30000</v>
      </c>
      <c r="N205" s="75" t="s">
        <v>241</v>
      </c>
      <c r="O205" s="75" t="s">
        <v>54</v>
      </c>
      <c r="P205" s="134" t="str">
        <f>IF(AND('331-CT'!$E$7=TH!H205,OR(N205="331",O205="331")),"x","")</f>
        <v/>
      </c>
    </row>
    <row r="206" spans="1:16" s="109" customFormat="1" ht="18" hidden="1" customHeigh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122"/>
      <c r="J206" s="122"/>
      <c r="K206" s="122"/>
      <c r="L206" s="122"/>
      <c r="M206" s="74">
        <v>3000</v>
      </c>
      <c r="N206" s="95" t="s">
        <v>241</v>
      </c>
      <c r="O206" s="75" t="s">
        <v>54</v>
      </c>
      <c r="P206" s="134" t="str">
        <f>IF(AND('331-CT'!$E$7=TH!H206,OR(N206="331",O206="331")),"x","")</f>
        <v/>
      </c>
    </row>
    <row r="207" spans="1:16" s="109" customFormat="1" ht="18" hidden="1" customHeigh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122"/>
      <c r="J207" s="122"/>
      <c r="K207" s="122"/>
      <c r="L207" s="122"/>
      <c r="M207" s="74">
        <v>58000000</v>
      </c>
      <c r="N207" s="78" t="s">
        <v>39</v>
      </c>
      <c r="O207" s="75" t="s">
        <v>203</v>
      </c>
      <c r="P207" s="134" t="str">
        <f>IF(AND('331-CT'!$E$7=TH!H207,OR(N207="331",O207="331")),"x","")</f>
        <v/>
      </c>
    </row>
    <row r="208" spans="1:16" s="109" customFormat="1" ht="18" hidden="1" customHeigh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122"/>
      <c r="J208" s="122"/>
      <c r="K208" s="122"/>
      <c r="L208" s="122"/>
      <c r="M208" s="74">
        <v>58000000</v>
      </c>
      <c r="N208" s="75" t="s">
        <v>54</v>
      </c>
      <c r="O208" s="75" t="s">
        <v>39</v>
      </c>
      <c r="P208" s="134" t="str">
        <f>IF(AND('331-CT'!$E$7=TH!H208,OR(N208="331",O208="331")),"x","")</f>
        <v/>
      </c>
    </row>
    <row r="209" spans="1:16" s="109" customFormat="1" ht="18" hidden="1" customHeigh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122"/>
      <c r="J209" s="122"/>
      <c r="K209" s="122"/>
      <c r="L209" s="122"/>
      <c r="M209" s="74">
        <v>27500000</v>
      </c>
      <c r="N209" s="75" t="s">
        <v>18</v>
      </c>
      <c r="O209" s="75" t="s">
        <v>54</v>
      </c>
      <c r="P209" s="134" t="str">
        <f>IF(AND('331-CT'!$E$7=TH!H209,OR(N209="331",O209="331")),"x","")</f>
        <v/>
      </c>
    </row>
    <row r="210" spans="1:16" s="109" customFormat="1" ht="18" hidden="1" customHeigh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120"/>
      <c r="J210" s="120"/>
      <c r="K210" s="120"/>
      <c r="L210" s="120"/>
      <c r="M210" s="74">
        <v>20000</v>
      </c>
      <c r="N210" s="75" t="s">
        <v>241</v>
      </c>
      <c r="O210" s="75" t="s">
        <v>54</v>
      </c>
      <c r="P210" s="134" t="str">
        <f>IF(AND('331-CT'!$E$7=TH!H210,OR(N210="331",O210="331")),"x","")</f>
        <v/>
      </c>
    </row>
    <row r="211" spans="1:16" s="109" customFormat="1" ht="18" hidden="1" customHeigh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120"/>
      <c r="J211" s="120"/>
      <c r="K211" s="120"/>
      <c r="L211" s="120"/>
      <c r="M211" s="74">
        <v>2000</v>
      </c>
      <c r="N211" s="75" t="s">
        <v>19</v>
      </c>
      <c r="O211" s="75" t="s">
        <v>54</v>
      </c>
      <c r="P211" s="134" t="str">
        <f>IF(AND('331-CT'!$E$7=TH!H211,OR(N211="331",O211="331")),"x","")</f>
        <v/>
      </c>
    </row>
    <row r="212" spans="1:16" s="109" customFormat="1" ht="18" hidden="1" customHeigh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122"/>
      <c r="J212" s="122"/>
      <c r="K212" s="122"/>
      <c r="L212" s="122"/>
      <c r="M212" s="74">
        <v>29920000</v>
      </c>
      <c r="N212" s="75" t="s">
        <v>245</v>
      </c>
      <c r="O212" s="75" t="s">
        <v>54</v>
      </c>
      <c r="P212" s="134" t="str">
        <f>IF(AND('331-CT'!$E$7=TH!H212,OR(N212="331",O212="331")),"x","")</f>
        <v/>
      </c>
    </row>
    <row r="213" spans="1:16" s="109" customFormat="1" ht="18" hidden="1" customHeigh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122"/>
      <c r="J213" s="122"/>
      <c r="K213" s="122"/>
      <c r="L213" s="122"/>
      <c r="M213" s="74">
        <v>20000</v>
      </c>
      <c r="N213" s="75" t="s">
        <v>241</v>
      </c>
      <c r="O213" s="75" t="s">
        <v>54</v>
      </c>
      <c r="P213" s="134" t="str">
        <f>IF(AND('331-CT'!$E$7=TH!H213,OR(N213="331",O213="331")),"x","")</f>
        <v/>
      </c>
    </row>
    <row r="214" spans="1:16" s="109" customFormat="1" ht="18" hidden="1" customHeigh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122"/>
      <c r="J214" s="122"/>
      <c r="K214" s="122"/>
      <c r="L214" s="122"/>
      <c r="M214" s="74">
        <v>2000</v>
      </c>
      <c r="N214" s="75" t="s">
        <v>19</v>
      </c>
      <c r="O214" s="75" t="s">
        <v>54</v>
      </c>
      <c r="P214" s="134" t="str">
        <f>IF(AND('331-CT'!$E$7=TH!H214,OR(N214="331",O214="331")),"x","")</f>
        <v/>
      </c>
    </row>
    <row r="215" spans="1:16" s="109" customFormat="1" ht="18" hidden="1" customHeigh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122"/>
      <c r="J215" s="122"/>
      <c r="K215" s="122"/>
      <c r="L215" s="122"/>
      <c r="M215" s="74">
        <v>379000000</v>
      </c>
      <c r="N215" s="75" t="s">
        <v>39</v>
      </c>
      <c r="O215" s="75" t="s">
        <v>203</v>
      </c>
      <c r="P215" s="134" t="str">
        <f>IF(AND('331-CT'!$E$7=TH!H215,OR(N215="331",O215="331")),"x","")</f>
        <v/>
      </c>
    </row>
    <row r="216" spans="1:16" s="109" customFormat="1" ht="18" hidden="1" customHeigh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122"/>
      <c r="J216" s="122"/>
      <c r="K216" s="122"/>
      <c r="L216" s="122"/>
      <c r="M216" s="74">
        <v>379000000</v>
      </c>
      <c r="N216" s="75" t="s">
        <v>54</v>
      </c>
      <c r="O216" s="75" t="s">
        <v>39</v>
      </c>
      <c r="P216" s="134" t="str">
        <f>IF(AND('331-CT'!$E$7=TH!H216,OR(N216="331",O216="331")),"x","")</f>
        <v/>
      </c>
    </row>
    <row r="217" spans="1:16" s="109" customFormat="1" ht="18" hidden="1" customHeigh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122"/>
      <c r="J217" s="122"/>
      <c r="K217" s="122"/>
      <c r="L217" s="122"/>
      <c r="M217" s="74">
        <v>113634</v>
      </c>
      <c r="N217" s="75" t="s">
        <v>241</v>
      </c>
      <c r="O217" s="75" t="s">
        <v>54</v>
      </c>
      <c r="P217" s="134" t="str">
        <f>IF(AND('331-CT'!$E$7=TH!H217,OR(N217="331",O217="331")),"x","")</f>
        <v/>
      </c>
    </row>
    <row r="218" spans="1:16" s="109" customFormat="1" ht="18" hidden="1" customHeigh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122"/>
      <c r="J218" s="122"/>
      <c r="K218" s="122"/>
      <c r="L218" s="122"/>
      <c r="M218" s="74">
        <v>11363</v>
      </c>
      <c r="N218" s="75" t="s">
        <v>19</v>
      </c>
      <c r="O218" s="75" t="s">
        <v>54</v>
      </c>
      <c r="P218" s="134" t="str">
        <f>IF(AND('331-CT'!$E$7=TH!H218,OR(N218="331",O218="331")),"x","")</f>
        <v/>
      </c>
    </row>
    <row r="219" spans="1:16" s="109" customFormat="1" ht="18" hidden="1" customHeigh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122"/>
      <c r="J219" s="122"/>
      <c r="K219" s="122"/>
      <c r="L219" s="122"/>
      <c r="M219" s="74">
        <v>27200000</v>
      </c>
      <c r="N219" s="75" t="s">
        <v>241</v>
      </c>
      <c r="O219" s="75" t="s">
        <v>18</v>
      </c>
      <c r="P219" s="134" t="str">
        <f>IF(AND('331-CT'!$E$7=TH!H219,OR(N219="331",O219="331")),"x","")</f>
        <v/>
      </c>
    </row>
    <row r="220" spans="1:16" s="109" customFormat="1" ht="18" hidden="1" customHeigh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122"/>
      <c r="J220" s="122"/>
      <c r="K220" s="122"/>
      <c r="L220" s="122"/>
      <c r="M220" s="74">
        <v>2720000</v>
      </c>
      <c r="N220" s="75" t="s">
        <v>19</v>
      </c>
      <c r="O220" s="75" t="s">
        <v>18</v>
      </c>
      <c r="P220" s="134" t="str">
        <f>IF(AND('331-CT'!$E$7=TH!H220,OR(N220="331",O220="331")),"x","")</f>
        <v/>
      </c>
    </row>
    <row r="221" spans="1:16" s="109" customFormat="1" ht="18" hidden="1" customHeigh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122"/>
      <c r="J221" s="122"/>
      <c r="K221" s="122"/>
      <c r="L221" s="122"/>
      <c r="M221" s="74">
        <v>1500000</v>
      </c>
      <c r="N221" s="75" t="s">
        <v>39</v>
      </c>
      <c r="O221" s="75" t="s">
        <v>203</v>
      </c>
      <c r="P221" s="134" t="str">
        <f>IF(AND('331-CT'!$E$7=TH!H221,OR(N221="331",O221="331")),"x","")</f>
        <v/>
      </c>
    </row>
    <row r="222" spans="1:16" s="109" customFormat="1" ht="18" hidden="1" customHeigh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122"/>
      <c r="J222" s="122"/>
      <c r="K222" s="122"/>
      <c r="L222" s="122"/>
      <c r="M222" s="74">
        <v>1500000</v>
      </c>
      <c r="N222" s="75" t="s">
        <v>54</v>
      </c>
      <c r="O222" s="75" t="s">
        <v>39</v>
      </c>
      <c r="P222" s="134" t="str">
        <f>IF(AND('331-CT'!$E$7=TH!H222,OR(N222="331",O222="331")),"x","")</f>
        <v/>
      </c>
    </row>
    <row r="223" spans="1:16" s="109" customFormat="1" ht="18" hidden="1" customHeigh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122"/>
      <c r="J223" s="122"/>
      <c r="K223" s="122"/>
      <c r="L223" s="122"/>
      <c r="M223" s="74">
        <v>1500000</v>
      </c>
      <c r="N223" s="75" t="s">
        <v>241</v>
      </c>
      <c r="O223" s="75" t="s">
        <v>219</v>
      </c>
      <c r="P223" s="134" t="str">
        <f>IF(AND('331-CT'!$E$7=TH!H223,OR(N223="331",O223="331")),"x","")</f>
        <v/>
      </c>
    </row>
    <row r="224" spans="1:16" s="109" customFormat="1" ht="18" hidden="1" customHeigh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122"/>
      <c r="J224" s="122"/>
      <c r="K224" s="122"/>
      <c r="L224" s="122"/>
      <c r="M224" s="74">
        <v>1500000</v>
      </c>
      <c r="N224" s="75" t="s">
        <v>219</v>
      </c>
      <c r="O224" s="75" t="s">
        <v>54</v>
      </c>
      <c r="P224" s="134" t="str">
        <f>IF(AND('331-CT'!$E$7=TH!H224,OR(N224="331",O224="331")),"x","")</f>
        <v/>
      </c>
    </row>
    <row r="225" spans="1:16" s="109" customFormat="1" ht="18" hidden="1" customHeigh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122"/>
      <c r="J225" s="122"/>
      <c r="K225" s="122"/>
      <c r="L225" s="122"/>
      <c r="M225" s="74">
        <v>20000</v>
      </c>
      <c r="N225" s="75" t="s">
        <v>241</v>
      </c>
      <c r="O225" s="75" t="s">
        <v>54</v>
      </c>
      <c r="P225" s="134" t="str">
        <f>IF(AND('331-CT'!$E$7=TH!H225,OR(N225="331",O225="331")),"x","")</f>
        <v/>
      </c>
    </row>
    <row r="226" spans="1:16" s="109" customFormat="1" ht="18" hidden="1" customHeigh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122"/>
      <c r="J226" s="122"/>
      <c r="K226" s="122"/>
      <c r="L226" s="122"/>
      <c r="M226" s="74">
        <v>2000</v>
      </c>
      <c r="N226" s="75" t="s">
        <v>19</v>
      </c>
      <c r="O226" s="75" t="s">
        <v>54</v>
      </c>
      <c r="P226" s="134" t="str">
        <f>IF(AND('331-CT'!$E$7=TH!H226,OR(N226="331",O226="331")),"x","")</f>
        <v/>
      </c>
    </row>
    <row r="227" spans="1:16" s="109" customFormat="1" ht="18" hidden="1" customHeigh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122"/>
      <c r="J227" s="122"/>
      <c r="K227" s="122"/>
      <c r="L227" s="122"/>
      <c r="M227" s="74">
        <v>64000000</v>
      </c>
      <c r="N227" s="78" t="s">
        <v>54</v>
      </c>
      <c r="O227" s="75" t="s">
        <v>203</v>
      </c>
      <c r="P227" s="134" t="str">
        <f>IF(AND('331-CT'!$E$7=TH!H227,OR(N227="331",O227="331")),"x","")</f>
        <v/>
      </c>
    </row>
    <row r="228" spans="1:16" s="109" customFormat="1" ht="18" hidden="1" customHeigh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122"/>
      <c r="J228" s="122"/>
      <c r="K228" s="122"/>
      <c r="L228" s="122"/>
      <c r="M228" s="74">
        <v>43824000</v>
      </c>
      <c r="N228" s="75" t="s">
        <v>18</v>
      </c>
      <c r="O228" s="75" t="s">
        <v>54</v>
      </c>
      <c r="P228" s="134" t="str">
        <f>IF(AND('331-CT'!$E$7=TH!H228,OR(N228="331",O228="331")),"x","")</f>
        <v/>
      </c>
    </row>
    <row r="229" spans="1:16" s="109" customFormat="1" ht="18" hidden="1" customHeigh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122"/>
      <c r="J229" s="122"/>
      <c r="K229" s="122"/>
      <c r="L229" s="122"/>
      <c r="M229" s="74">
        <v>30000</v>
      </c>
      <c r="N229" s="75" t="s">
        <v>241</v>
      </c>
      <c r="O229" s="75" t="s">
        <v>54</v>
      </c>
      <c r="P229" s="134" t="str">
        <f>IF(AND('331-CT'!$E$7=TH!H229,OR(N229="331",O229="331")),"x","")</f>
        <v/>
      </c>
    </row>
    <row r="230" spans="1:16" s="109" customFormat="1" ht="18" hidden="1" customHeigh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122"/>
      <c r="J230" s="122"/>
      <c r="K230" s="122"/>
      <c r="L230" s="122"/>
      <c r="M230" s="74">
        <v>3000</v>
      </c>
      <c r="N230" s="78" t="s">
        <v>19</v>
      </c>
      <c r="O230" s="75" t="s">
        <v>54</v>
      </c>
      <c r="P230" s="134" t="str">
        <f>IF(AND('331-CT'!$E$7=TH!H230,OR(N230="331",O230="331")),"x","")</f>
        <v/>
      </c>
    </row>
    <row r="231" spans="1:16" s="109" customFormat="1" ht="18" hidden="1" customHeigh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122"/>
      <c r="J231" s="122"/>
      <c r="K231" s="122"/>
      <c r="L231" s="122"/>
      <c r="M231" s="74">
        <v>20000000</v>
      </c>
      <c r="N231" s="75" t="s">
        <v>18</v>
      </c>
      <c r="O231" s="75" t="s">
        <v>54</v>
      </c>
      <c r="P231" s="134" t="str">
        <f>IF(AND('331-CT'!$E$7=TH!H231,OR(N231="331",O231="331")),"x","")</f>
        <v/>
      </c>
    </row>
    <row r="232" spans="1:16" s="109" customFormat="1" ht="18" hidden="1" customHeigh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122"/>
      <c r="J232" s="122"/>
      <c r="K232" s="122"/>
      <c r="L232" s="122"/>
      <c r="M232" s="74">
        <v>22804</v>
      </c>
      <c r="N232" s="75" t="s">
        <v>241</v>
      </c>
      <c r="O232" s="75" t="s">
        <v>54</v>
      </c>
      <c r="P232" s="134" t="str">
        <f>IF(AND('331-CT'!$E$7=TH!H232,OR(N232="331",O232="331")),"x","")</f>
        <v/>
      </c>
    </row>
    <row r="233" spans="1:16" s="109" customFormat="1" ht="18" hidden="1" customHeigh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122"/>
      <c r="J233" s="122"/>
      <c r="K233" s="122"/>
      <c r="L233" s="122"/>
      <c r="M233" s="74">
        <v>2280</v>
      </c>
      <c r="N233" s="75" t="s">
        <v>19</v>
      </c>
      <c r="O233" s="75" t="s">
        <v>54</v>
      </c>
      <c r="P233" s="134" t="str">
        <f>IF(AND('331-CT'!$E$7=TH!H233,OR(N233="331",O233="331")),"x","")</f>
        <v/>
      </c>
    </row>
    <row r="234" spans="1:16" s="109" customFormat="1" ht="18" hidden="1" customHeigh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120"/>
      <c r="J234" s="120"/>
      <c r="K234" s="120"/>
      <c r="L234" s="120"/>
      <c r="M234" s="74">
        <v>76500000</v>
      </c>
      <c r="N234" s="75" t="s">
        <v>54</v>
      </c>
      <c r="O234" s="75" t="s">
        <v>203</v>
      </c>
      <c r="P234" s="134" t="str">
        <f>IF(AND('331-CT'!$E$7=TH!H234,OR(N234="331",O234="331")),"x","")</f>
        <v/>
      </c>
    </row>
    <row r="235" spans="1:16" s="109" customFormat="1" ht="18" hidden="1" customHeigh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120"/>
      <c r="J235" s="120"/>
      <c r="K235" s="120"/>
      <c r="L235" s="120"/>
      <c r="M235" s="74">
        <v>76462320</v>
      </c>
      <c r="N235" s="75" t="s">
        <v>18</v>
      </c>
      <c r="O235" s="75" t="s">
        <v>54</v>
      </c>
      <c r="P235" s="134" t="str">
        <f>IF(AND('331-CT'!$E$7=TH!H235,OR(N235="331",O235="331")),"x","")</f>
        <v/>
      </c>
    </row>
    <row r="236" spans="1:16" s="109" customFormat="1" ht="18" hidden="1" customHeigh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122"/>
      <c r="J236" s="122"/>
      <c r="K236" s="122"/>
      <c r="L236" s="122"/>
      <c r="M236" s="74">
        <v>32561</v>
      </c>
      <c r="N236" s="75" t="s">
        <v>241</v>
      </c>
      <c r="O236" s="75" t="s">
        <v>54</v>
      </c>
      <c r="P236" s="134" t="str">
        <f>IF(AND('331-CT'!$E$7=TH!H236,OR(N236="331",O236="331")),"x","")</f>
        <v/>
      </c>
    </row>
    <row r="237" spans="1:16" s="109" customFormat="1" ht="18" hidden="1" customHeigh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122"/>
      <c r="J237" s="122"/>
      <c r="K237" s="122"/>
      <c r="L237" s="122"/>
      <c r="M237" s="74">
        <v>3256</v>
      </c>
      <c r="N237" s="75" t="s">
        <v>19</v>
      </c>
      <c r="O237" s="75" t="s">
        <v>54</v>
      </c>
      <c r="P237" s="134" t="str">
        <f>IF(AND('331-CT'!$E$7=TH!H237,OR(N237="331",O237="331")),"x","")</f>
        <v/>
      </c>
    </row>
    <row r="238" spans="1:16" s="109" customFormat="1" ht="18" hidden="1" customHeigh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122"/>
      <c r="J238" s="122"/>
      <c r="K238" s="122"/>
      <c r="L238" s="122"/>
      <c r="M238" s="74">
        <v>30000</v>
      </c>
      <c r="N238" s="75" t="s">
        <v>241</v>
      </c>
      <c r="O238" s="75" t="s">
        <v>54</v>
      </c>
      <c r="P238" s="134" t="str">
        <f>IF(AND('331-CT'!$E$7=TH!H238,OR(N238="331",O238="331")),"x","")</f>
        <v/>
      </c>
    </row>
    <row r="239" spans="1:16" s="109" customFormat="1" ht="18" hidden="1" customHeigh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122"/>
      <c r="J239" s="122"/>
      <c r="K239" s="122"/>
      <c r="L239" s="122"/>
      <c r="M239" s="74">
        <v>3000</v>
      </c>
      <c r="N239" s="75" t="s">
        <v>19</v>
      </c>
      <c r="O239" s="75" t="s">
        <v>54</v>
      </c>
      <c r="P239" s="134" t="str">
        <f>IF(AND('331-CT'!$E$7=TH!H239,OR(N239="331",O239="331")),"x","")</f>
        <v/>
      </c>
    </row>
    <row r="240" spans="1:16" s="109" customFormat="1" ht="18" hidden="1" customHeigh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122"/>
      <c r="J240" s="122"/>
      <c r="K240" s="122"/>
      <c r="L240" s="122"/>
      <c r="M240" s="74">
        <v>30000</v>
      </c>
      <c r="N240" s="75" t="s">
        <v>241</v>
      </c>
      <c r="O240" s="75" t="s">
        <v>54</v>
      </c>
      <c r="P240" s="134" t="str">
        <f>IF(AND('331-CT'!$E$7=TH!H240,OR(N240="331",O240="331")),"x","")</f>
        <v/>
      </c>
    </row>
    <row r="241" spans="1:16" s="109" customFormat="1" ht="18" hidden="1" customHeigh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120"/>
      <c r="J241" s="120"/>
      <c r="K241" s="120"/>
      <c r="L241" s="120"/>
      <c r="M241" s="74">
        <v>3000</v>
      </c>
      <c r="N241" s="75" t="s">
        <v>19</v>
      </c>
      <c r="O241" s="75" t="s">
        <v>54</v>
      </c>
      <c r="P241" s="134" t="str">
        <f>IF(AND('331-CT'!$E$7=TH!H241,OR(N241="331",O241="331")),"x","")</f>
        <v/>
      </c>
    </row>
    <row r="242" spans="1:16" s="109" customFormat="1" ht="18" hidden="1" customHeigh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120"/>
      <c r="J242" s="120"/>
      <c r="K242" s="120"/>
      <c r="L242" s="120"/>
      <c r="M242" s="74">
        <v>30000</v>
      </c>
      <c r="N242" s="75" t="s">
        <v>241</v>
      </c>
      <c r="O242" s="75" t="s">
        <v>54</v>
      </c>
      <c r="P242" s="134" t="str">
        <f>IF(AND('331-CT'!$E$7=TH!H242,OR(N242="331",O242="331")),"x","")</f>
        <v/>
      </c>
    </row>
    <row r="243" spans="1:16" s="109" customFormat="1" ht="18" hidden="1" customHeigh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122"/>
      <c r="J243" s="122"/>
      <c r="K243" s="122"/>
      <c r="L243" s="122"/>
      <c r="M243" s="74">
        <v>3000</v>
      </c>
      <c r="N243" s="75" t="s">
        <v>19</v>
      </c>
      <c r="O243" s="75" t="s">
        <v>54</v>
      </c>
      <c r="P243" s="134" t="str">
        <f>IF(AND('331-CT'!$E$7=TH!H243,OR(N243="331",O243="331")),"x","")</f>
        <v/>
      </c>
    </row>
    <row r="244" spans="1:16" s="109" customFormat="1" ht="18" hidden="1" customHeigh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122"/>
      <c r="J244" s="122"/>
      <c r="K244" s="122"/>
      <c r="L244" s="122"/>
      <c r="M244" s="74">
        <v>133200000</v>
      </c>
      <c r="N244" s="75" t="s">
        <v>54</v>
      </c>
      <c r="O244" s="75" t="s">
        <v>203</v>
      </c>
      <c r="P244" s="134" t="str">
        <f>IF(AND('331-CT'!$E$7=TH!H244,OR(N244="331",O244="331")),"x","")</f>
        <v/>
      </c>
    </row>
    <row r="245" spans="1:16" s="109" customFormat="1" ht="18" hidden="1" customHeigh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122"/>
      <c r="J245" s="122"/>
      <c r="K245" s="122"/>
      <c r="L245" s="122"/>
      <c r="M245" s="74">
        <v>133147080</v>
      </c>
      <c r="N245" s="75" t="s">
        <v>18</v>
      </c>
      <c r="O245" s="75" t="s">
        <v>54</v>
      </c>
      <c r="P245" s="134" t="str">
        <f>IF(AND('331-CT'!$E$7=TH!H245,OR(N245="331",O245="331")),"x","")</f>
        <v/>
      </c>
    </row>
    <row r="246" spans="1:16" s="109" customFormat="1" ht="18" hidden="1" customHeigh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122"/>
      <c r="J246" s="122"/>
      <c r="K246" s="122"/>
      <c r="L246" s="122"/>
      <c r="M246" s="74">
        <v>52911</v>
      </c>
      <c r="N246" s="75" t="s">
        <v>241</v>
      </c>
      <c r="O246" s="75" t="s">
        <v>54</v>
      </c>
      <c r="P246" s="134" t="str">
        <f>IF(AND('331-CT'!$E$7=TH!H246,OR(N246="331",O246="331")),"x","")</f>
        <v/>
      </c>
    </row>
    <row r="247" spans="1:16" s="109" customFormat="1" ht="18" hidden="1" customHeigh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122"/>
      <c r="J247" s="122"/>
      <c r="K247" s="122"/>
      <c r="L247" s="122"/>
      <c r="M247" s="74">
        <v>5291</v>
      </c>
      <c r="N247" s="75" t="s">
        <v>19</v>
      </c>
      <c r="O247" s="75" t="s">
        <v>54</v>
      </c>
      <c r="P247" s="134" t="str">
        <f>IF(AND('331-CT'!$E$7=TH!H247,OR(N247="331",O247="331")),"x","")</f>
        <v/>
      </c>
    </row>
    <row r="248" spans="1:16" s="109" customFormat="1" ht="18" hidden="1" customHeigh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122"/>
      <c r="J248" s="122"/>
      <c r="K248" s="122"/>
      <c r="L248" s="122"/>
      <c r="M248" s="74">
        <v>30000000</v>
      </c>
      <c r="N248" s="75" t="s">
        <v>54</v>
      </c>
      <c r="O248" s="75" t="s">
        <v>203</v>
      </c>
      <c r="P248" s="134" t="str">
        <f>IF(AND('331-CT'!$E$7=TH!H248,OR(N248="331",O248="331")),"x","")</f>
        <v/>
      </c>
    </row>
    <row r="249" spans="1:16" s="109" customFormat="1" ht="18" hidden="1" customHeigh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122"/>
      <c r="J249" s="122"/>
      <c r="K249" s="122"/>
      <c r="L249" s="122"/>
      <c r="M249" s="74">
        <v>30000000</v>
      </c>
      <c r="N249" s="75" t="s">
        <v>18</v>
      </c>
      <c r="O249" s="75" t="s">
        <v>54</v>
      </c>
      <c r="P249" s="134" t="str">
        <f>IF(AND('331-CT'!$E$7=TH!H249,OR(N249="331",O249="331")),"x","")</f>
        <v/>
      </c>
    </row>
    <row r="250" spans="1:16" s="109" customFormat="1" ht="18" hidden="1" customHeigh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122"/>
      <c r="J250" s="122"/>
      <c r="K250" s="122"/>
      <c r="L250" s="122"/>
      <c r="M250" s="74">
        <v>20000</v>
      </c>
      <c r="N250" s="75" t="s">
        <v>241</v>
      </c>
      <c r="O250" s="75" t="s">
        <v>54</v>
      </c>
      <c r="P250" s="134" t="str">
        <f>IF(AND('331-CT'!$E$7=TH!H250,OR(N250="331",O250="331")),"x","")</f>
        <v/>
      </c>
    </row>
    <row r="251" spans="1:16" s="109" customFormat="1" ht="18" hidden="1" customHeigh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122"/>
      <c r="J251" s="122"/>
      <c r="K251" s="122"/>
      <c r="L251" s="122"/>
      <c r="M251" s="74">
        <v>2000</v>
      </c>
      <c r="N251" s="75" t="s">
        <v>19</v>
      </c>
      <c r="O251" s="75" t="s">
        <v>54</v>
      </c>
      <c r="P251" s="134" t="str">
        <f>IF(AND('331-CT'!$E$7=TH!H251,OR(N251="331",O251="331")),"x","")</f>
        <v/>
      </c>
    </row>
    <row r="252" spans="1:16" s="109" customFormat="1" ht="18" hidden="1" customHeigh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122"/>
      <c r="J252" s="122"/>
      <c r="K252" s="122"/>
      <c r="L252" s="122"/>
      <c r="M252" s="74">
        <v>55000000</v>
      </c>
      <c r="N252" s="75" t="s">
        <v>654</v>
      </c>
      <c r="O252" s="75" t="s">
        <v>18</v>
      </c>
      <c r="P252" s="134" t="str">
        <f>IF(AND('331-CT'!$E$7=TH!H252,OR(N252="331",O252="331")),"x","")</f>
        <v/>
      </c>
    </row>
    <row r="253" spans="1:16" s="109" customFormat="1" ht="18" hidden="1" customHeigh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122"/>
      <c r="J253" s="122"/>
      <c r="K253" s="122"/>
      <c r="L253" s="122"/>
      <c r="M253" s="74">
        <v>5500000</v>
      </c>
      <c r="N253" s="75" t="s">
        <v>19</v>
      </c>
      <c r="O253" s="75" t="s">
        <v>18</v>
      </c>
      <c r="P253" s="134" t="str">
        <f>IF(AND('331-CT'!$E$7=TH!H253,OR(N253="331",O253="331")),"x","")</f>
        <v/>
      </c>
    </row>
    <row r="254" spans="1:16" s="109" customFormat="1" ht="18" hidden="1" customHeigh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122"/>
      <c r="J254" s="122"/>
      <c r="K254" s="122"/>
      <c r="L254" s="122"/>
      <c r="M254" s="74">
        <v>33000000</v>
      </c>
      <c r="N254" s="75" t="s">
        <v>39</v>
      </c>
      <c r="O254" s="75" t="s">
        <v>203</v>
      </c>
      <c r="P254" s="134" t="str">
        <f>IF(AND('331-CT'!$E$7=TH!H254,OR(N254="331",O254="331")),"x","")</f>
        <v/>
      </c>
    </row>
    <row r="255" spans="1:16" s="109" customFormat="1" ht="18" hidden="1" customHeigh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122"/>
      <c r="J255" s="122"/>
      <c r="K255" s="122"/>
      <c r="L255" s="122"/>
      <c r="M255" s="74">
        <v>33000000</v>
      </c>
      <c r="N255" s="77" t="s">
        <v>54</v>
      </c>
      <c r="O255" s="75" t="s">
        <v>39</v>
      </c>
      <c r="P255" s="134" t="str">
        <f>IF(AND('331-CT'!$E$7=TH!H255,OR(N255="331",O255="331")),"x","")</f>
        <v/>
      </c>
    </row>
    <row r="256" spans="1:16" s="109" customFormat="1" ht="18" hidden="1" customHeigh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122"/>
      <c r="J256" s="122"/>
      <c r="K256" s="122"/>
      <c r="L256" s="122"/>
      <c r="M256" s="74">
        <v>33000000</v>
      </c>
      <c r="N256" s="75" t="s">
        <v>212</v>
      </c>
      <c r="O256" s="75" t="s">
        <v>54</v>
      </c>
      <c r="P256" s="134" t="str">
        <f>IF(AND('331-CT'!$E$7=TH!H256,OR(N256="331",O256="331")),"x","")</f>
        <v/>
      </c>
    </row>
    <row r="257" spans="1:16" s="109" customFormat="1" ht="18" hidden="1" customHeigh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122"/>
      <c r="J257" s="122"/>
      <c r="K257" s="122"/>
      <c r="L257" s="122"/>
      <c r="M257" s="74">
        <v>25000</v>
      </c>
      <c r="N257" s="75" t="s">
        <v>241</v>
      </c>
      <c r="O257" s="75" t="s">
        <v>54</v>
      </c>
      <c r="P257" s="134" t="str">
        <f>IF(AND('331-CT'!$E$7=TH!H257,OR(N257="331",O257="331")),"x","")</f>
        <v/>
      </c>
    </row>
    <row r="258" spans="1:16" s="109" customFormat="1" ht="18" hidden="1" customHeigh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122"/>
      <c r="J258" s="122"/>
      <c r="K258" s="122"/>
      <c r="L258" s="122"/>
      <c r="M258" s="74">
        <v>2500</v>
      </c>
      <c r="N258" s="77" t="s">
        <v>19</v>
      </c>
      <c r="O258" s="75" t="s">
        <v>54</v>
      </c>
      <c r="P258" s="134" t="str">
        <f>IF(AND('331-CT'!$E$7=TH!H258,OR(N258="331",O258="331")),"x","")</f>
        <v/>
      </c>
    </row>
    <row r="259" spans="1:16" s="109" customFormat="1" ht="18" hidden="1" customHeigh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122"/>
      <c r="J259" s="122"/>
      <c r="K259" s="122"/>
      <c r="L259" s="122"/>
      <c r="M259" s="74">
        <v>36500000</v>
      </c>
      <c r="N259" s="77" t="s">
        <v>54</v>
      </c>
      <c r="O259" s="75" t="s">
        <v>203</v>
      </c>
      <c r="P259" s="134" t="str">
        <f>IF(AND('331-CT'!$E$7=TH!H259,OR(N259="331",O259="331")),"x","")</f>
        <v/>
      </c>
    </row>
    <row r="260" spans="1:16" s="109" customFormat="1" ht="18" hidden="1" customHeigh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122"/>
      <c r="J260" s="122"/>
      <c r="K260" s="122"/>
      <c r="L260" s="122"/>
      <c r="M260" s="74">
        <v>33000000</v>
      </c>
      <c r="N260" s="75" t="s">
        <v>54</v>
      </c>
      <c r="O260" s="75" t="s">
        <v>212</v>
      </c>
      <c r="P260" s="134" t="str">
        <f>IF(AND('331-CT'!$E$7=TH!H260,OR(N260="331",O260="331")),"x","")</f>
        <v/>
      </c>
    </row>
    <row r="261" spans="1:16" s="109" customFormat="1" ht="18" hidden="1" customHeigh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122"/>
      <c r="J261" s="122"/>
      <c r="K261" s="122"/>
      <c r="L261" s="122"/>
      <c r="M261" s="74">
        <v>33000000</v>
      </c>
      <c r="N261" s="75" t="s">
        <v>18</v>
      </c>
      <c r="O261" s="75" t="s">
        <v>54</v>
      </c>
      <c r="P261" s="134" t="str">
        <f>IF(AND('331-CT'!$E$7=TH!H261,OR(N261="331",O261="331")),"x","")</f>
        <v/>
      </c>
    </row>
    <row r="262" spans="1:16" s="109" customFormat="1" ht="18" hidden="1" customHeigh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122"/>
      <c r="J262" s="122"/>
      <c r="K262" s="122"/>
      <c r="L262" s="122"/>
      <c r="M262" s="74">
        <v>25000</v>
      </c>
      <c r="N262" s="75" t="s">
        <v>241</v>
      </c>
      <c r="O262" s="75" t="s">
        <v>54</v>
      </c>
      <c r="P262" s="134" t="str">
        <f>IF(AND('331-CT'!$E$7=TH!H262,OR(N262="331",O262="331")),"x","")</f>
        <v/>
      </c>
    </row>
    <row r="263" spans="1:16" s="109" customFormat="1" ht="18" hidden="1" customHeigh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122"/>
      <c r="J263" s="122"/>
      <c r="K263" s="122"/>
      <c r="L263" s="122"/>
      <c r="M263" s="74">
        <v>2500</v>
      </c>
      <c r="N263" s="75" t="s">
        <v>19</v>
      </c>
      <c r="O263" s="75" t="s">
        <v>54</v>
      </c>
      <c r="P263" s="134" t="str">
        <f>IF(AND('331-CT'!$E$7=TH!H263,OR(N263="331",O263="331")),"x","")</f>
        <v/>
      </c>
    </row>
    <row r="264" spans="1:16" s="109" customFormat="1" ht="18" hidden="1" customHeigh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122"/>
      <c r="J264" s="122"/>
      <c r="K264" s="122"/>
      <c r="L264" s="122"/>
      <c r="M264" s="74">
        <v>36432000</v>
      </c>
      <c r="N264" s="77" t="s">
        <v>18</v>
      </c>
      <c r="O264" s="75" t="s">
        <v>54</v>
      </c>
      <c r="P264" s="134" t="str">
        <f>IF(AND('331-CT'!$E$7=TH!H264,OR(N264="331",O264="331")),"x","")</f>
        <v/>
      </c>
    </row>
    <row r="265" spans="1:16" s="109" customFormat="1" ht="18" hidden="1" customHeigh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122"/>
      <c r="J265" s="122"/>
      <c r="K265" s="122"/>
      <c r="L265" s="122"/>
      <c r="M265" s="74">
        <v>45000</v>
      </c>
      <c r="N265" s="75" t="s">
        <v>241</v>
      </c>
      <c r="O265" s="75" t="s">
        <v>54</v>
      </c>
      <c r="P265" s="134" t="str">
        <f>IF(AND('331-CT'!$E$7=TH!H265,OR(N265="331",O265="331")),"x","")</f>
        <v/>
      </c>
    </row>
    <row r="266" spans="1:16" s="109" customFormat="1" ht="18" hidden="1" customHeigh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122"/>
      <c r="J266" s="122"/>
      <c r="K266" s="122"/>
      <c r="L266" s="122"/>
      <c r="M266" s="74">
        <v>4500</v>
      </c>
      <c r="N266" s="75" t="s">
        <v>19</v>
      </c>
      <c r="O266" s="75" t="s">
        <v>54</v>
      </c>
      <c r="P266" s="134" t="str">
        <f>IF(AND('331-CT'!$E$7=TH!H266,OR(N266="331",O266="331")),"x","")</f>
        <v/>
      </c>
    </row>
    <row r="267" spans="1:16" s="109" customFormat="1" ht="18" hidden="1" customHeigh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122"/>
      <c r="J267" s="122"/>
      <c r="K267" s="122"/>
      <c r="L267" s="122"/>
      <c r="M267" s="74">
        <v>33120000</v>
      </c>
      <c r="N267" s="75" t="s">
        <v>241</v>
      </c>
      <c r="O267" s="75" t="s">
        <v>18</v>
      </c>
      <c r="P267" s="134" t="str">
        <f>IF(AND('331-CT'!$E$7=TH!H267,OR(N267="331",O267="331")),"x","")</f>
        <v/>
      </c>
    </row>
    <row r="268" spans="1:16" s="109" customFormat="1" ht="18" hidden="1" customHeigh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122"/>
      <c r="J268" s="122"/>
      <c r="K268" s="122"/>
      <c r="L268" s="122"/>
      <c r="M268" s="74">
        <v>3312000</v>
      </c>
      <c r="N268" s="75" t="s">
        <v>19</v>
      </c>
      <c r="O268" s="75" t="s">
        <v>18</v>
      </c>
      <c r="P268" s="134" t="str">
        <f>IF(AND('331-CT'!$E$7=TH!H268,OR(N268="331",O268="331")),"x","")</f>
        <v/>
      </c>
    </row>
    <row r="269" spans="1:16" s="109" customFormat="1" ht="18" hidden="1" customHeigh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122"/>
      <c r="J269" s="122"/>
      <c r="K269" s="122"/>
      <c r="L269" s="122"/>
      <c r="M269" s="74">
        <v>30000000</v>
      </c>
      <c r="N269" s="75" t="s">
        <v>54</v>
      </c>
      <c r="O269" s="75" t="s">
        <v>203</v>
      </c>
      <c r="P269" s="134" t="str">
        <f>IF(AND('331-CT'!$E$7=TH!H269,OR(N269="331",O269="331")),"x","")</f>
        <v/>
      </c>
    </row>
    <row r="270" spans="1:16" s="109" customFormat="1" ht="18" hidden="1" customHeigh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122"/>
      <c r="J270" s="122"/>
      <c r="K270" s="122"/>
      <c r="L270" s="122"/>
      <c r="M270" s="74">
        <v>50000</v>
      </c>
      <c r="N270" s="75" t="s">
        <v>241</v>
      </c>
      <c r="O270" s="75" t="s">
        <v>54</v>
      </c>
      <c r="P270" s="134" t="str">
        <f>IF(AND('331-CT'!$E$7=TH!H270,OR(N270="331",O270="331")),"x","")</f>
        <v/>
      </c>
    </row>
    <row r="271" spans="1:16" s="109" customFormat="1" ht="18" hidden="1" customHeigh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122"/>
      <c r="J271" s="122"/>
      <c r="K271" s="122"/>
      <c r="L271" s="122"/>
      <c r="M271" s="74">
        <v>5000</v>
      </c>
      <c r="N271" s="77" t="s">
        <v>19</v>
      </c>
      <c r="O271" s="75" t="s">
        <v>54</v>
      </c>
      <c r="P271" s="134" t="str">
        <f>IF(AND('331-CT'!$E$7=TH!H271,OR(N271="331",O271="331")),"x","")</f>
        <v/>
      </c>
    </row>
    <row r="272" spans="1:16" s="109" customFormat="1" ht="18" hidden="1" customHeigh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122"/>
      <c r="J272" s="122"/>
      <c r="K272" s="122"/>
      <c r="L272" s="122"/>
      <c r="M272" s="74">
        <v>50000</v>
      </c>
      <c r="N272" s="75" t="s">
        <v>241</v>
      </c>
      <c r="O272" s="75" t="s">
        <v>54</v>
      </c>
      <c r="P272" s="134" t="str">
        <f>IF(AND('331-CT'!$E$7=TH!H272,OR(N272="331",O272="331")),"x","")</f>
        <v/>
      </c>
    </row>
    <row r="273" spans="1:16" s="109" customFormat="1" ht="18" hidden="1" customHeigh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122"/>
      <c r="J273" s="122"/>
      <c r="K273" s="122"/>
      <c r="L273" s="122"/>
      <c r="M273" s="74">
        <v>5000</v>
      </c>
      <c r="N273" s="75" t="s">
        <v>19</v>
      </c>
      <c r="O273" s="75" t="s">
        <v>54</v>
      </c>
      <c r="P273" s="134" t="str">
        <f>IF(AND('331-CT'!$E$7=TH!H273,OR(N273="331",O273="331")),"x","")</f>
        <v/>
      </c>
    </row>
    <row r="274" spans="1:16" s="109" customFormat="1" ht="18" hidden="1" customHeigh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122"/>
      <c r="J274" s="122"/>
      <c r="K274" s="122"/>
      <c r="L274" s="122"/>
      <c r="M274" s="74">
        <v>50000</v>
      </c>
      <c r="N274" s="75" t="s">
        <v>241</v>
      </c>
      <c r="O274" s="75" t="s">
        <v>54</v>
      </c>
      <c r="P274" s="134" t="str">
        <f>IF(AND('331-CT'!$E$7=TH!H274,OR(N274="331",O274="331")),"x","")</f>
        <v/>
      </c>
    </row>
    <row r="275" spans="1:16" s="109" customFormat="1" ht="18" hidden="1" customHeigh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122"/>
      <c r="J275" s="122"/>
      <c r="K275" s="122"/>
      <c r="L275" s="122"/>
      <c r="M275" s="74">
        <v>5000</v>
      </c>
      <c r="N275" s="75" t="s">
        <v>19</v>
      </c>
      <c r="O275" s="75" t="s">
        <v>54</v>
      </c>
      <c r="P275" s="134" t="str">
        <f>IF(AND('331-CT'!$E$7=TH!H275,OR(N275="331",O275="331")),"x","")</f>
        <v/>
      </c>
    </row>
    <row r="276" spans="1:16" s="109" customFormat="1" ht="18" hidden="1" customHeigh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122"/>
      <c r="J276" s="122"/>
      <c r="K276" s="122"/>
      <c r="L276" s="122"/>
      <c r="M276" s="74">
        <v>30000000</v>
      </c>
      <c r="N276" s="75" t="s">
        <v>18</v>
      </c>
      <c r="O276" s="75" t="s">
        <v>54</v>
      </c>
      <c r="P276" s="134" t="str">
        <f>IF(AND('331-CT'!$E$7=TH!H276,OR(N276="331",O276="331")),"x","")</f>
        <v/>
      </c>
    </row>
    <row r="277" spans="1:16" s="109" customFormat="1" ht="18" hidden="1" customHeigh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122"/>
      <c r="J277" s="122"/>
      <c r="K277" s="122"/>
      <c r="L277" s="122"/>
      <c r="M277" s="74">
        <v>20000</v>
      </c>
      <c r="N277" s="75" t="s">
        <v>241</v>
      </c>
      <c r="O277" s="75" t="s">
        <v>54</v>
      </c>
      <c r="P277" s="134" t="str">
        <f>IF(AND('331-CT'!$E$7=TH!H277,OR(N277="331",O277="331")),"x","")</f>
        <v/>
      </c>
    </row>
    <row r="278" spans="1:16" s="109" customFormat="1" ht="18" hidden="1" customHeigh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122"/>
      <c r="J278" s="122"/>
      <c r="K278" s="122"/>
      <c r="L278" s="122"/>
      <c r="M278" s="74">
        <v>2000</v>
      </c>
      <c r="N278" s="75" t="s">
        <v>19</v>
      </c>
      <c r="O278" s="75" t="s">
        <v>54</v>
      </c>
      <c r="P278" s="134" t="str">
        <f>IF(AND('331-CT'!$E$7=TH!H278,OR(N278="331",O278="331")),"x","")</f>
        <v/>
      </c>
    </row>
    <row r="279" spans="1:16" s="109" customFormat="1" ht="18" hidden="1" customHeigh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122"/>
      <c r="J279" s="122"/>
      <c r="K279" s="122"/>
      <c r="L279" s="122"/>
      <c r="M279" s="74">
        <v>100000</v>
      </c>
      <c r="N279" s="75" t="s">
        <v>241</v>
      </c>
      <c r="O279" s="75" t="s">
        <v>54</v>
      </c>
      <c r="P279" s="134" t="str">
        <f>IF(AND('331-CT'!$E$7=TH!H279,OR(N279="331",O279="331")),"x","")</f>
        <v/>
      </c>
    </row>
    <row r="280" spans="1:16" s="109" customFormat="1" ht="18" hidden="1" customHeigh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122"/>
      <c r="J280" s="122"/>
      <c r="K280" s="122"/>
      <c r="L280" s="122"/>
      <c r="M280" s="74">
        <v>10000</v>
      </c>
      <c r="N280" s="75" t="s">
        <v>19</v>
      </c>
      <c r="O280" s="75" t="s">
        <v>54</v>
      </c>
      <c r="P280" s="134" t="str">
        <f>IF(AND('331-CT'!$E$7=TH!H280,OR(N280="331",O280="331")),"x","")</f>
        <v/>
      </c>
    </row>
    <row r="281" spans="1:16" s="109" customFormat="1" ht="18" hidden="1" customHeigh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122"/>
      <c r="J281" s="122"/>
      <c r="K281" s="122"/>
      <c r="L281" s="122"/>
      <c r="M281" s="74">
        <v>378779940</v>
      </c>
      <c r="N281" s="75" t="s">
        <v>18</v>
      </c>
      <c r="O281" s="75" t="s">
        <v>54</v>
      </c>
      <c r="P281" s="134" t="str">
        <f>IF(AND('331-CT'!$E$7=TH!H281,OR(N281="331",O281="331")),"x","")</f>
        <v/>
      </c>
    </row>
    <row r="282" spans="1:16" s="109" customFormat="1" ht="18" hidden="1" customHeigh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122"/>
      <c r="J282" s="122"/>
      <c r="K282" s="122"/>
      <c r="L282" s="122"/>
      <c r="M282" s="74">
        <v>20000000</v>
      </c>
      <c r="N282" s="78" t="s">
        <v>54</v>
      </c>
      <c r="O282" s="75" t="s">
        <v>203</v>
      </c>
      <c r="P282" s="134" t="str">
        <f>IF(AND('331-CT'!$E$7=TH!H282,OR(N282="331",O282="331")),"x","")</f>
        <v/>
      </c>
    </row>
    <row r="283" spans="1:16" s="109" customFormat="1" ht="18" hidden="1" customHeigh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122"/>
      <c r="J283" s="122"/>
      <c r="K283" s="122"/>
      <c r="L283" s="122"/>
      <c r="M283" s="74">
        <v>20000000</v>
      </c>
      <c r="N283" s="75" t="s">
        <v>18</v>
      </c>
      <c r="O283" s="75" t="s">
        <v>54</v>
      </c>
      <c r="P283" s="134" t="str">
        <f>IF(AND('331-CT'!$E$7=TH!H283,OR(N283="331",O283="331")),"x","")</f>
        <v/>
      </c>
    </row>
    <row r="284" spans="1:16" s="109" customFormat="1" ht="18" hidden="1" customHeigh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2"/>
      <c r="J284" s="132"/>
      <c r="K284" s="132"/>
      <c r="L284" s="132"/>
      <c r="M284" s="133">
        <v>45000</v>
      </c>
      <c r="N284" s="134" t="s">
        <v>241</v>
      </c>
      <c r="O284" s="134" t="s">
        <v>54</v>
      </c>
      <c r="P284" s="134" t="str">
        <f>IF(AND('331-CT'!$E$7=TH!H284,OR(N284="331",O284="331")),"x","")</f>
        <v/>
      </c>
    </row>
    <row r="285" spans="1:16" s="109" customFormat="1" ht="18" hidden="1" customHeigh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2"/>
      <c r="J285" s="132"/>
      <c r="K285" s="132"/>
      <c r="L285" s="132"/>
      <c r="M285" s="133">
        <v>4500</v>
      </c>
      <c r="N285" s="134" t="s">
        <v>19</v>
      </c>
      <c r="O285" s="134" t="s">
        <v>54</v>
      </c>
      <c r="P285" s="134" t="str">
        <f>IF(AND('331-CT'!$E$7=TH!H285,OR(N285="331",O285="331")),"x","")</f>
        <v/>
      </c>
    </row>
    <row r="286" spans="1:16" s="109" customFormat="1" ht="18" hidden="1" customHeigh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122"/>
      <c r="J286" s="122"/>
      <c r="K286" s="122"/>
      <c r="L286" s="122"/>
      <c r="M286" s="74">
        <v>50000000</v>
      </c>
      <c r="N286" s="75" t="s">
        <v>39</v>
      </c>
      <c r="O286" s="75" t="s">
        <v>203</v>
      </c>
      <c r="P286" s="134" t="str">
        <f>IF(AND('331-CT'!$E$7=TH!H286,OR(N286="331",O286="331")),"x","")</f>
        <v/>
      </c>
    </row>
    <row r="287" spans="1:16" s="109" customFormat="1" ht="18" hidden="1" customHeigh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122"/>
      <c r="J287" s="122"/>
      <c r="K287" s="122"/>
      <c r="L287" s="122"/>
      <c r="M287" s="74">
        <v>50000000</v>
      </c>
      <c r="N287" s="75" t="s">
        <v>54</v>
      </c>
      <c r="O287" s="75" t="s">
        <v>39</v>
      </c>
      <c r="P287" s="134" t="str">
        <f>IF(AND('331-CT'!$E$7=TH!H287,OR(N287="331",O287="331")),"x","")</f>
        <v/>
      </c>
    </row>
    <row r="288" spans="1:16" s="109" customFormat="1" ht="18" hidden="1" customHeigh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122"/>
      <c r="J288" s="122"/>
      <c r="K288" s="122"/>
      <c r="L288" s="122"/>
      <c r="M288" s="74">
        <v>50000000</v>
      </c>
      <c r="N288" s="75" t="s">
        <v>18</v>
      </c>
      <c r="O288" s="75" t="s">
        <v>54</v>
      </c>
      <c r="P288" s="134" t="str">
        <f>IF(AND('331-CT'!$E$7=TH!H288,OR(N288="331",O288="331")),"x","")</f>
        <v/>
      </c>
    </row>
    <row r="289" spans="1:16" s="109" customFormat="1" ht="18" hidden="1" customHeigh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122"/>
      <c r="J289" s="122"/>
      <c r="K289" s="122"/>
      <c r="L289" s="122"/>
      <c r="M289" s="74">
        <v>25000</v>
      </c>
      <c r="N289" s="75" t="s">
        <v>241</v>
      </c>
      <c r="O289" s="75" t="s">
        <v>54</v>
      </c>
      <c r="P289" s="134" t="str">
        <f>IF(AND('331-CT'!$E$7=TH!H289,OR(N289="331",O289="331")),"x","")</f>
        <v/>
      </c>
    </row>
    <row r="290" spans="1:16" s="109" customFormat="1" ht="18" hidden="1" customHeigh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124"/>
      <c r="J290" s="124"/>
      <c r="K290" s="124"/>
      <c r="L290" s="124"/>
      <c r="M290" s="74">
        <v>2500</v>
      </c>
      <c r="N290" s="75" t="s">
        <v>19</v>
      </c>
      <c r="O290" s="75" t="s">
        <v>54</v>
      </c>
      <c r="P290" s="134" t="str">
        <f>IF(AND('331-CT'!$E$7=TH!H290,OR(N290="331",O290="331")),"x","")</f>
        <v/>
      </c>
    </row>
    <row r="291" spans="1:16" s="109" customFormat="1" ht="18" hidden="1" customHeigh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124"/>
      <c r="J291" s="124"/>
      <c r="K291" s="124"/>
      <c r="L291" s="124"/>
      <c r="M291" s="74">
        <v>50000000</v>
      </c>
      <c r="N291" s="75" t="s">
        <v>39</v>
      </c>
      <c r="O291" s="75" t="s">
        <v>203</v>
      </c>
      <c r="P291" s="134" t="str">
        <f>IF(AND('331-CT'!$E$7=TH!H291,OR(N291="331",O291="331")),"x","")</f>
        <v/>
      </c>
    </row>
    <row r="292" spans="1:16" s="109" customFormat="1" ht="18" hidden="1" customHeigh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122"/>
      <c r="J292" s="122"/>
      <c r="K292" s="122"/>
      <c r="L292" s="122"/>
      <c r="M292" s="74">
        <v>50000000</v>
      </c>
      <c r="N292" s="75" t="s">
        <v>54</v>
      </c>
      <c r="O292" s="75" t="s">
        <v>39</v>
      </c>
      <c r="P292" s="134" t="str">
        <f>IF(AND('331-CT'!$E$7=TH!H292,OR(N292="331",O292="331")),"x","")</f>
        <v/>
      </c>
    </row>
    <row r="293" spans="1:16" s="109" customFormat="1" ht="18" hidden="1" customHeigh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124"/>
      <c r="J293" s="124"/>
      <c r="K293" s="124"/>
      <c r="L293" s="124"/>
      <c r="M293" s="74">
        <v>50000000</v>
      </c>
      <c r="N293" s="75" t="s">
        <v>18</v>
      </c>
      <c r="O293" s="75" t="s">
        <v>54</v>
      </c>
      <c r="P293" s="134" t="str">
        <f>IF(AND('331-CT'!$E$7=TH!H293,OR(N293="331",O293="331")),"x","")</f>
        <v/>
      </c>
    </row>
    <row r="294" spans="1:16" s="109" customFormat="1" ht="18" hidden="1" customHeigh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122"/>
      <c r="J294" s="122"/>
      <c r="K294" s="122"/>
      <c r="L294" s="122"/>
      <c r="M294" s="74">
        <v>25000</v>
      </c>
      <c r="N294" s="75" t="s">
        <v>241</v>
      </c>
      <c r="O294" s="75" t="s">
        <v>54</v>
      </c>
      <c r="P294" s="134" t="str">
        <f>IF(AND('331-CT'!$E$7=TH!H294,OR(N294="331",O294="331")),"x","")</f>
        <v/>
      </c>
    </row>
    <row r="295" spans="1:16" s="109" customFormat="1" ht="18" hidden="1" customHeigh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122"/>
      <c r="J295" s="122"/>
      <c r="K295" s="122"/>
      <c r="L295" s="122"/>
      <c r="M295" s="74">
        <v>2500</v>
      </c>
      <c r="N295" s="75" t="s">
        <v>19</v>
      </c>
      <c r="O295" s="75" t="s">
        <v>54</v>
      </c>
      <c r="P295" s="134" t="str">
        <f>IF(AND('331-CT'!$E$7=TH!H295,OR(N295="331",O295="331")),"x","")</f>
        <v/>
      </c>
    </row>
    <row r="296" spans="1:16" s="109" customFormat="1" ht="18" hidden="1" customHeigh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124"/>
      <c r="J296" s="124"/>
      <c r="K296" s="124"/>
      <c r="L296" s="124"/>
      <c r="M296" s="74">
        <v>253000000</v>
      </c>
      <c r="N296" s="75" t="s">
        <v>54</v>
      </c>
      <c r="O296" s="75" t="s">
        <v>203</v>
      </c>
      <c r="P296" s="134" t="str">
        <f>IF(AND('331-CT'!$E$7=TH!H296,OR(N296="331",O296="331")),"x","")</f>
        <v/>
      </c>
    </row>
    <row r="297" spans="1:16" s="109" customFormat="1" ht="18" hidden="1" customHeigh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124"/>
      <c r="J297" s="124"/>
      <c r="K297" s="124"/>
      <c r="L297" s="124"/>
      <c r="M297" s="74">
        <v>252519960</v>
      </c>
      <c r="N297" s="75" t="s">
        <v>18</v>
      </c>
      <c r="O297" s="75" t="s">
        <v>54</v>
      </c>
      <c r="P297" s="134" t="str">
        <f>IF(AND('331-CT'!$E$7=TH!H297,OR(N297="331",O297="331")),"x","")</f>
        <v/>
      </c>
    </row>
    <row r="298" spans="1:16" s="109" customFormat="1" ht="18" hidden="1" customHeigh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124"/>
      <c r="J298" s="124"/>
      <c r="K298" s="124"/>
      <c r="L298" s="124"/>
      <c r="M298" s="74">
        <v>151275</v>
      </c>
      <c r="N298" s="75" t="s">
        <v>241</v>
      </c>
      <c r="O298" s="75" t="s">
        <v>54</v>
      </c>
      <c r="P298" s="134" t="str">
        <f>IF(AND('331-CT'!$E$7=TH!H298,OR(N298="331",O298="331")),"x","")</f>
        <v/>
      </c>
    </row>
    <row r="299" spans="1:16" s="109" customFormat="1" ht="18" hidden="1" customHeigh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"/>
      <c r="J299" s="7"/>
      <c r="K299" s="7"/>
      <c r="L299" s="7"/>
      <c r="M299" s="74">
        <v>15127</v>
      </c>
      <c r="N299" s="136" t="s">
        <v>19</v>
      </c>
      <c r="O299" s="136" t="s">
        <v>54</v>
      </c>
      <c r="P299" s="134" t="str">
        <f>IF(AND('331-CT'!$E$7=TH!H299,OR(N299="331",O299="331")),"x","")</f>
        <v/>
      </c>
    </row>
    <row r="300" spans="1:16" s="109" customFormat="1" ht="18" hidden="1" customHeigh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122"/>
      <c r="J300" s="122"/>
      <c r="K300" s="122"/>
      <c r="L300" s="122"/>
      <c r="M300" s="74">
        <v>1000000000</v>
      </c>
      <c r="N300" s="75" t="s">
        <v>54</v>
      </c>
      <c r="O300" s="75" t="s">
        <v>227</v>
      </c>
      <c r="P300" s="134" t="str">
        <f>IF(AND('331-CT'!$E$7=TH!H300,OR(N300="331",O300="331")),"x","")</f>
        <v/>
      </c>
    </row>
    <row r="301" spans="1:16" s="109" customFormat="1" ht="18" hidden="1" customHeigh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122"/>
      <c r="J301" s="122"/>
      <c r="K301" s="122"/>
      <c r="L301" s="122"/>
      <c r="M301" s="74">
        <v>50000000</v>
      </c>
      <c r="N301" s="75" t="s">
        <v>18</v>
      </c>
      <c r="O301" s="75" t="s">
        <v>54</v>
      </c>
      <c r="P301" s="134" t="str">
        <f>IF(AND('331-CT'!$E$7=TH!H301,OR(N301="331",O301="331")),"x","")</f>
        <v/>
      </c>
    </row>
    <row r="302" spans="1:16" s="109" customFormat="1" ht="18" hidden="1" customHeigh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122"/>
      <c r="J302" s="122"/>
      <c r="K302" s="122"/>
      <c r="L302" s="122"/>
      <c r="M302" s="74">
        <v>25000</v>
      </c>
      <c r="N302" s="75" t="s">
        <v>241</v>
      </c>
      <c r="O302" s="75" t="s">
        <v>54</v>
      </c>
      <c r="P302" s="134" t="str">
        <f>IF(AND('331-CT'!$E$7=TH!H302,OR(N302="331",O302="331")),"x","")</f>
        <v/>
      </c>
    </row>
    <row r="303" spans="1:16" s="109" customFormat="1" ht="18" hidden="1" customHeigh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122"/>
      <c r="J303" s="122"/>
      <c r="K303" s="122"/>
      <c r="L303" s="122"/>
      <c r="M303" s="74">
        <v>2500</v>
      </c>
      <c r="N303" s="75" t="s">
        <v>19</v>
      </c>
      <c r="O303" s="75" t="s">
        <v>54</v>
      </c>
      <c r="P303" s="134" t="str">
        <f>IF(AND('331-CT'!$E$7=TH!H303,OR(N303="331",O303="331")),"x","")</f>
        <v/>
      </c>
    </row>
    <row r="304" spans="1:16" s="109" customFormat="1" ht="18" hidden="1" customHeigh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122"/>
      <c r="J304" s="122"/>
      <c r="K304" s="122"/>
      <c r="L304" s="122"/>
      <c r="M304" s="74">
        <v>80000000</v>
      </c>
      <c r="N304" s="75" t="s">
        <v>18</v>
      </c>
      <c r="O304" s="75" t="s">
        <v>54</v>
      </c>
      <c r="P304" s="134" t="str">
        <f>IF(AND('331-CT'!$E$7=TH!H304,OR(N304="331",O304="331")),"x","")</f>
        <v/>
      </c>
    </row>
    <row r="305" spans="1:16" s="109" customFormat="1" ht="18" hidden="1" customHeigh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122"/>
      <c r="J305" s="122"/>
      <c r="K305" s="122"/>
      <c r="L305" s="122"/>
      <c r="M305" s="74">
        <v>24000</v>
      </c>
      <c r="N305" s="75" t="s">
        <v>241</v>
      </c>
      <c r="O305" s="75" t="s">
        <v>54</v>
      </c>
      <c r="P305" s="134" t="str">
        <f>IF(AND('331-CT'!$E$7=TH!H305,OR(N305="331",O305="331")),"x","")</f>
        <v/>
      </c>
    </row>
    <row r="306" spans="1:16" s="109" customFormat="1" ht="18" hidden="1" customHeigh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122"/>
      <c r="J306" s="122"/>
      <c r="K306" s="122"/>
      <c r="L306" s="122"/>
      <c r="M306" s="74">
        <v>2400</v>
      </c>
      <c r="N306" s="75" t="s">
        <v>19</v>
      </c>
      <c r="O306" s="75" t="s">
        <v>54</v>
      </c>
      <c r="P306" s="134" t="str">
        <f>IF(AND('331-CT'!$E$7=TH!H306,OR(N306="331",O306="331")),"x","")</f>
        <v/>
      </c>
    </row>
    <row r="307" spans="1:16" s="109" customFormat="1" ht="18" hidden="1" customHeigh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122"/>
      <c r="J307" s="122"/>
      <c r="K307" s="122"/>
      <c r="L307" s="122"/>
      <c r="M307" s="74">
        <v>50000000</v>
      </c>
      <c r="N307" s="75" t="s">
        <v>18</v>
      </c>
      <c r="O307" s="75" t="s">
        <v>54</v>
      </c>
      <c r="P307" s="134" t="str">
        <f>IF(AND('331-CT'!$E$7=TH!H307,OR(N307="331",O307="331")),"x","")</f>
        <v/>
      </c>
    </row>
    <row r="308" spans="1:16" s="109" customFormat="1" ht="18" hidden="1" customHeigh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122"/>
      <c r="J308" s="122"/>
      <c r="K308" s="122"/>
      <c r="L308" s="122"/>
      <c r="M308" s="74">
        <v>25000</v>
      </c>
      <c r="N308" s="78" t="s">
        <v>241</v>
      </c>
      <c r="O308" s="75" t="s">
        <v>54</v>
      </c>
      <c r="P308" s="134" t="str">
        <f>IF(AND('331-CT'!$E$7=TH!H308,OR(N308="331",O308="331")),"x","")</f>
        <v/>
      </c>
    </row>
    <row r="309" spans="1:16" s="109" customFormat="1" ht="18" hidden="1" customHeigh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122"/>
      <c r="J309" s="122"/>
      <c r="K309" s="122"/>
      <c r="L309" s="122"/>
      <c r="M309" s="74">
        <v>2500</v>
      </c>
      <c r="N309" s="75" t="s">
        <v>19</v>
      </c>
      <c r="O309" s="75" t="s">
        <v>54</v>
      </c>
      <c r="P309" s="134" t="str">
        <f>IF(AND('331-CT'!$E$7=TH!H309,OR(N309="331",O309="331")),"x","")</f>
        <v/>
      </c>
    </row>
    <row r="310" spans="1:16" s="109" customFormat="1" ht="18" hidden="1" customHeigh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122"/>
      <c r="J310" s="122"/>
      <c r="K310" s="122"/>
      <c r="L310" s="122"/>
      <c r="M310" s="74">
        <v>378779940</v>
      </c>
      <c r="N310" s="75" t="s">
        <v>18</v>
      </c>
      <c r="O310" s="75" t="s">
        <v>54</v>
      </c>
      <c r="P310" s="134" t="str">
        <f>IF(AND('331-CT'!$E$7=TH!H310,OR(N310="331",O310="331")),"x","")</f>
        <v/>
      </c>
    </row>
    <row r="311" spans="1:16" s="109" customFormat="1" ht="18" hidden="1" customHeigh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122"/>
      <c r="J311" s="122"/>
      <c r="K311" s="122"/>
      <c r="L311" s="122"/>
      <c r="M311" s="74">
        <v>113634</v>
      </c>
      <c r="N311" s="75" t="s">
        <v>241</v>
      </c>
      <c r="O311" s="75" t="s">
        <v>54</v>
      </c>
      <c r="P311" s="134" t="str">
        <f>IF(AND('331-CT'!$E$7=TH!H311,OR(N311="331",O311="331")),"x","")</f>
        <v/>
      </c>
    </row>
    <row r="312" spans="1:16" s="109" customFormat="1" ht="18" hidden="1" customHeigh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122"/>
      <c r="J312" s="122"/>
      <c r="K312" s="122"/>
      <c r="L312" s="122"/>
      <c r="M312" s="74">
        <v>11363</v>
      </c>
      <c r="N312" s="75" t="s">
        <v>19</v>
      </c>
      <c r="O312" s="75" t="s">
        <v>54</v>
      </c>
      <c r="P312" s="134" t="str">
        <f>IF(AND('331-CT'!$E$7=TH!H312,OR(N312="331",O312="331")),"x","")</f>
        <v/>
      </c>
    </row>
    <row r="313" spans="1:16" s="109" customFormat="1" ht="18" hidden="1" customHeigh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122"/>
      <c r="J313" s="122"/>
      <c r="K313" s="122"/>
      <c r="L313" s="122"/>
      <c r="M313" s="74">
        <v>40000</v>
      </c>
      <c r="N313" s="75" t="s">
        <v>241</v>
      </c>
      <c r="O313" s="75" t="s">
        <v>54</v>
      </c>
      <c r="P313" s="134" t="str">
        <f>IF(AND('331-CT'!$E$7=TH!H313,OR(N313="331",O313="331")),"x","")</f>
        <v/>
      </c>
    </row>
    <row r="314" spans="1:16" s="109" customFormat="1" ht="18" hidden="1" customHeigh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122"/>
      <c r="J314" s="122"/>
      <c r="K314" s="122"/>
      <c r="L314" s="122"/>
      <c r="M314" s="74">
        <v>4000</v>
      </c>
      <c r="N314" s="78" t="s">
        <v>19</v>
      </c>
      <c r="O314" s="75" t="s">
        <v>54</v>
      </c>
      <c r="P314" s="134" t="str">
        <f>IF(AND('331-CT'!$E$7=TH!H314,OR(N314="331",O314="331")),"x","")</f>
        <v/>
      </c>
    </row>
    <row r="315" spans="1:16" s="109" customFormat="1" ht="18" hidden="1" customHeigh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123"/>
      <c r="J315" s="123"/>
      <c r="K315" s="123"/>
      <c r="L315" s="123"/>
      <c r="M315" s="74">
        <v>72727273</v>
      </c>
      <c r="N315" s="75" t="s">
        <v>654</v>
      </c>
      <c r="O315" s="75" t="s">
        <v>18</v>
      </c>
      <c r="P315" s="134" t="str">
        <f>IF(AND('331-CT'!$E$7=TH!H315,OR(N315="331",O315="331")),"x","")</f>
        <v/>
      </c>
    </row>
    <row r="316" spans="1:16" s="109" customFormat="1" ht="18" hidden="1" customHeigh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122"/>
      <c r="J316" s="122"/>
      <c r="K316" s="122"/>
      <c r="L316" s="122"/>
      <c r="M316" s="74">
        <v>7272727</v>
      </c>
      <c r="N316" s="75" t="s">
        <v>19</v>
      </c>
      <c r="O316" s="75" t="s">
        <v>18</v>
      </c>
      <c r="P316" s="134" t="str">
        <f>IF(AND('331-CT'!$E$7=TH!H316,OR(N316="331",O316="331")),"x","")</f>
        <v/>
      </c>
    </row>
    <row r="317" spans="1:16" s="109" customFormat="1" ht="18" hidden="1" customHeigh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122"/>
      <c r="J317" s="122"/>
      <c r="K317" s="122"/>
      <c r="L317" s="122"/>
      <c r="M317" s="74">
        <v>38769</v>
      </c>
      <c r="N317" s="75" t="s">
        <v>54</v>
      </c>
      <c r="O317" s="75" t="s">
        <v>99</v>
      </c>
      <c r="P317" s="134" t="str">
        <f>IF(AND('331-CT'!$E$7=TH!H317,OR(N317="331",O317="331")),"x","")</f>
        <v/>
      </c>
    </row>
    <row r="318" spans="1:16" s="109" customFormat="1" ht="18" hidden="1" customHeigh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123"/>
      <c r="J318" s="123"/>
      <c r="K318" s="123"/>
      <c r="L318" s="123"/>
      <c r="M318" s="74">
        <v>1443034000</v>
      </c>
      <c r="N318" s="75" t="s">
        <v>654</v>
      </c>
      <c r="O318" s="75" t="s">
        <v>18</v>
      </c>
      <c r="P318" s="134" t="str">
        <f>IF(AND('331-CT'!$E$7=TH!H318,OR(N318="331",O318="331")),"x","")</f>
        <v/>
      </c>
    </row>
    <row r="319" spans="1:16" s="109" customFormat="1" ht="18" hidden="1" customHeigh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122"/>
      <c r="J319" s="122"/>
      <c r="K319" s="122"/>
      <c r="L319" s="122"/>
      <c r="M319" s="74">
        <v>144303400</v>
      </c>
      <c r="N319" s="75" t="s">
        <v>19</v>
      </c>
      <c r="O319" s="75" t="s">
        <v>18</v>
      </c>
      <c r="P319" s="134" t="str">
        <f>IF(AND('331-CT'!$E$7=TH!H319,OR(N319="331",O319="331")),"x","")</f>
        <v/>
      </c>
    </row>
    <row r="320" spans="1:16" s="109" customFormat="1" ht="18" hidden="1" customHeigh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122"/>
      <c r="J320" s="122"/>
      <c r="K320" s="122"/>
      <c r="L320" s="122"/>
      <c r="M320" s="74">
        <v>50000000</v>
      </c>
      <c r="N320" s="75" t="s">
        <v>18</v>
      </c>
      <c r="O320" s="75" t="s">
        <v>54</v>
      </c>
      <c r="P320" s="134" t="str">
        <f>IF(AND('331-CT'!$E$7=TH!H320,OR(N320="331",O320="331")),"x","")</f>
        <v/>
      </c>
    </row>
    <row r="321" spans="1:16" s="109" customFormat="1" ht="18" hidden="1" customHeigh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122"/>
      <c r="J321" s="122"/>
      <c r="K321" s="122"/>
      <c r="L321" s="122"/>
      <c r="M321" s="74">
        <v>25000</v>
      </c>
      <c r="N321" s="75" t="s">
        <v>241</v>
      </c>
      <c r="O321" s="75" t="s">
        <v>54</v>
      </c>
      <c r="P321" s="134" t="str">
        <f>IF(AND('331-CT'!$E$7=TH!H321,OR(N321="331",O321="331")),"x","")</f>
        <v/>
      </c>
    </row>
    <row r="322" spans="1:16" s="109" customFormat="1" ht="18" hidden="1" customHeigh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122"/>
      <c r="J322" s="122"/>
      <c r="K322" s="122"/>
      <c r="L322" s="122"/>
      <c r="M322" s="74">
        <v>2500</v>
      </c>
      <c r="N322" s="75" t="s">
        <v>19</v>
      </c>
      <c r="O322" s="75" t="s">
        <v>54</v>
      </c>
      <c r="P322" s="134" t="str">
        <f>IF(AND('331-CT'!$E$7=TH!H322,OR(N322="331",O322="331")),"x","")</f>
        <v/>
      </c>
    </row>
    <row r="323" spans="1:16" s="109" customFormat="1" ht="18" hidden="1" customHeigh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122"/>
      <c r="J323" s="122"/>
      <c r="K323" s="122"/>
      <c r="L323" s="122"/>
      <c r="M323" s="74">
        <v>9000000</v>
      </c>
      <c r="N323" s="75" t="s">
        <v>39</v>
      </c>
      <c r="O323" s="75" t="s">
        <v>203</v>
      </c>
      <c r="P323" s="134" t="str">
        <f>IF(AND('331-CT'!$E$7=TH!H323,OR(N323="331",O323="331")),"x","")</f>
        <v/>
      </c>
    </row>
    <row r="324" spans="1:16" s="109" customFormat="1" ht="18" hidden="1" customHeigh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122"/>
      <c r="J324" s="122"/>
      <c r="K324" s="122"/>
      <c r="L324" s="122"/>
      <c r="M324" s="74">
        <v>9000000</v>
      </c>
      <c r="N324" s="75" t="s">
        <v>54</v>
      </c>
      <c r="O324" s="75" t="s">
        <v>39</v>
      </c>
      <c r="P324" s="134" t="str">
        <f>IF(AND('331-CT'!$E$7=TH!H324,OR(N324="331",O324="331")),"x","")</f>
        <v/>
      </c>
    </row>
    <row r="325" spans="1:16" s="109" customFormat="1" ht="18" hidden="1" customHeigh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9"/>
      <c r="J325" s="9"/>
      <c r="K325" s="9"/>
      <c r="L325" s="9"/>
      <c r="M325" s="74">
        <v>8625463</v>
      </c>
      <c r="N325" s="75" t="s">
        <v>239</v>
      </c>
      <c r="O325" s="75" t="s">
        <v>54</v>
      </c>
      <c r="P325" s="134" t="str">
        <f>IF(AND('331-CT'!$E$7=TH!H325,OR(N325="331",O325="331")),"x","")</f>
        <v/>
      </c>
    </row>
    <row r="326" spans="1:16" s="109" customFormat="1" ht="18" hidden="1" customHeigh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122"/>
      <c r="J326" s="122"/>
      <c r="K326" s="122"/>
      <c r="L326" s="122"/>
      <c r="M326" s="74">
        <v>752610000</v>
      </c>
      <c r="N326" s="75" t="s">
        <v>18</v>
      </c>
      <c r="O326" s="75" t="s">
        <v>54</v>
      </c>
      <c r="P326" s="134" t="str">
        <f>IF(AND('331-CT'!$E$7=TH!H326,OR(N326="331",O326="331")),"x","")</f>
        <v/>
      </c>
    </row>
    <row r="327" spans="1:16" s="109" customFormat="1" ht="18" hidden="1" customHeigh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122"/>
      <c r="J327" s="122"/>
      <c r="K327" s="122"/>
      <c r="L327" s="122"/>
      <c r="M327" s="74">
        <v>225783</v>
      </c>
      <c r="N327" s="75" t="s">
        <v>241</v>
      </c>
      <c r="O327" s="75" t="s">
        <v>54</v>
      </c>
      <c r="P327" s="134" t="str">
        <f>IF(AND('331-CT'!$E$7=TH!H327,OR(N327="331",O327="331")),"x","")</f>
        <v/>
      </c>
    </row>
    <row r="328" spans="1:16" s="109" customFormat="1" ht="18" hidden="1" customHeigh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9"/>
      <c r="J328" s="9"/>
      <c r="K328" s="9"/>
      <c r="L328" s="9"/>
      <c r="M328" s="74">
        <v>22578</v>
      </c>
      <c r="N328" s="75" t="s">
        <v>19</v>
      </c>
      <c r="O328" s="75" t="s">
        <v>54</v>
      </c>
      <c r="P328" s="134" t="str">
        <f>IF(AND('331-CT'!$E$7=TH!H328,OR(N328="331",O328="331")),"x","")</f>
        <v/>
      </c>
    </row>
    <row r="329" spans="1:16" s="109" customFormat="1" ht="18" hidden="1" customHeigh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122"/>
      <c r="J329" s="122"/>
      <c r="K329" s="122"/>
      <c r="L329" s="122"/>
      <c r="M329" s="74">
        <v>800000000</v>
      </c>
      <c r="N329" s="75" t="s">
        <v>18</v>
      </c>
      <c r="O329" s="75" t="s">
        <v>54</v>
      </c>
      <c r="P329" s="134" t="str">
        <f>IF(AND('331-CT'!$E$7=TH!H329,OR(N329="331",O329="331")),"x","")</f>
        <v/>
      </c>
    </row>
    <row r="330" spans="1:16" s="109" customFormat="1" ht="18" hidden="1" customHeigh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122"/>
      <c r="J330" s="122"/>
      <c r="K330" s="122"/>
      <c r="L330" s="122"/>
      <c r="M330" s="74">
        <v>400000</v>
      </c>
      <c r="N330" s="75" t="s">
        <v>241</v>
      </c>
      <c r="O330" s="75" t="s">
        <v>54</v>
      </c>
      <c r="P330" s="134" t="str">
        <f>IF(AND('331-CT'!$E$7=TH!H330,OR(N330="331",O330="331")),"x","")</f>
        <v/>
      </c>
    </row>
    <row r="331" spans="1:16" s="109" customFormat="1" ht="18" hidden="1" customHeigh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2"/>
      <c r="J331" s="132"/>
      <c r="K331" s="132"/>
      <c r="L331" s="132"/>
      <c r="M331" s="133">
        <v>40000</v>
      </c>
      <c r="N331" s="134" t="s">
        <v>19</v>
      </c>
      <c r="O331" s="134" t="s">
        <v>54</v>
      </c>
      <c r="P331" s="134" t="str">
        <f>IF(AND('331-CT'!$E$7=TH!H331,OR(N331="331",O331="331")),"x","")</f>
        <v/>
      </c>
    </row>
    <row r="332" spans="1:16" s="109" customFormat="1" ht="18" hidden="1" customHeigh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2"/>
      <c r="J332" s="132"/>
      <c r="K332" s="132"/>
      <c r="L332" s="132"/>
      <c r="M332" s="133">
        <v>2000000000</v>
      </c>
      <c r="N332" s="134" t="s">
        <v>54</v>
      </c>
      <c r="O332" s="134" t="s">
        <v>227</v>
      </c>
      <c r="P332" s="134" t="str">
        <f>IF(AND('331-CT'!$E$7=TH!H332,OR(N332="331",O332="331")),"x","")</f>
        <v/>
      </c>
    </row>
    <row r="333" spans="1:16" s="109" customFormat="1" ht="18" hidden="1" customHeigh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122"/>
      <c r="J333" s="122"/>
      <c r="K333" s="122"/>
      <c r="L333" s="122"/>
      <c r="M333" s="74">
        <v>20000</v>
      </c>
      <c r="N333" s="75" t="s">
        <v>241</v>
      </c>
      <c r="O333" s="75" t="s">
        <v>54</v>
      </c>
      <c r="P333" s="134" t="str">
        <f>IF(AND('331-CT'!$E$7=TH!H333,OR(N333="331",O333="331")),"x","")</f>
        <v/>
      </c>
    </row>
    <row r="334" spans="1:16" s="109" customFormat="1" ht="18" hidden="1" customHeigh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122"/>
      <c r="J334" s="122"/>
      <c r="K334" s="122"/>
      <c r="L334" s="122"/>
      <c r="M334" s="74">
        <v>2000</v>
      </c>
      <c r="N334" s="75" t="s">
        <v>19</v>
      </c>
      <c r="O334" s="75" t="s">
        <v>54</v>
      </c>
      <c r="P334" s="134" t="str">
        <f>IF(AND('331-CT'!$E$7=TH!H334,OR(N334="331",O334="331")),"x","")</f>
        <v/>
      </c>
    </row>
    <row r="335" spans="1:16" s="109" customFormat="1" ht="18" hidden="1" customHeigh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122"/>
      <c r="J335" s="122"/>
      <c r="K335" s="122"/>
      <c r="L335" s="122"/>
      <c r="M335" s="74">
        <v>199881</v>
      </c>
      <c r="N335" s="75" t="s">
        <v>54</v>
      </c>
      <c r="O335" s="75" t="s">
        <v>99</v>
      </c>
      <c r="P335" s="134" t="str">
        <f>IF(AND('331-CT'!$E$7=TH!H335,OR(N335="331",O335="331")),"x","")</f>
        <v/>
      </c>
    </row>
    <row r="336" spans="1:16" s="109" customFormat="1" ht="18" hidden="1" customHeigh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122"/>
      <c r="J336" s="122"/>
      <c r="K336" s="122"/>
      <c r="L336" s="122"/>
      <c r="M336" s="74">
        <v>20000</v>
      </c>
      <c r="N336" s="75" t="s">
        <v>241</v>
      </c>
      <c r="O336" s="75" t="s">
        <v>54</v>
      </c>
      <c r="P336" s="134" t="str">
        <f>IF(AND('331-CT'!$E$7=TH!H336,OR(N336="331",O336="331")),"x","")</f>
        <v/>
      </c>
    </row>
    <row r="337" spans="1:16" s="109" customFormat="1" ht="18" hidden="1" customHeigh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122"/>
      <c r="J337" s="122"/>
      <c r="K337" s="122"/>
      <c r="L337" s="122"/>
      <c r="M337" s="74">
        <v>2000</v>
      </c>
      <c r="N337" s="75" t="s">
        <v>19</v>
      </c>
      <c r="O337" s="75" t="s">
        <v>54</v>
      </c>
      <c r="P337" s="134" t="str">
        <f>IF(AND('331-CT'!$E$7=TH!H337,OR(N337="331",O337="331")),"x","")</f>
        <v/>
      </c>
    </row>
    <row r="338" spans="1:16" s="109" customFormat="1" ht="18" hidden="1" customHeigh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"/>
      <c r="J338" s="7"/>
      <c r="K338" s="7"/>
      <c r="L338" s="7"/>
      <c r="M338" s="74">
        <v>50000</v>
      </c>
      <c r="N338" s="75" t="s">
        <v>241</v>
      </c>
      <c r="O338" s="75" t="s">
        <v>54</v>
      </c>
      <c r="P338" s="134" t="str">
        <f>IF(AND('331-CT'!$E$7=TH!H338,OR(N338="331",O338="331")),"x","")</f>
        <v/>
      </c>
    </row>
    <row r="339" spans="1:16" s="109" customFormat="1" ht="18" hidden="1" customHeigh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122"/>
      <c r="J339" s="122"/>
      <c r="K339" s="122"/>
      <c r="L339" s="122"/>
      <c r="M339" s="74">
        <v>5000</v>
      </c>
      <c r="N339" s="75" t="s">
        <v>19</v>
      </c>
      <c r="O339" s="75" t="s">
        <v>54</v>
      </c>
      <c r="P339" s="134" t="str">
        <f>IF(AND('331-CT'!$E$7=TH!H339,OR(N339="331",O339="331")),"x","")</f>
        <v/>
      </c>
    </row>
    <row r="340" spans="1:16" s="109" customFormat="1" ht="18" hidden="1" customHeigh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122"/>
      <c r="J340" s="122"/>
      <c r="K340" s="122"/>
      <c r="L340" s="122"/>
      <c r="M340" s="74">
        <v>50000</v>
      </c>
      <c r="N340" s="75" t="s">
        <v>241</v>
      </c>
      <c r="O340" s="75" t="s">
        <v>54</v>
      </c>
      <c r="P340" s="134" t="str">
        <f>IF(AND('331-CT'!$E$7=TH!H340,OR(N340="331",O340="331")),"x","")</f>
        <v/>
      </c>
    </row>
    <row r="341" spans="1:16" s="109" customFormat="1" ht="18" hidden="1" customHeigh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122"/>
      <c r="J341" s="122"/>
      <c r="K341" s="122"/>
      <c r="L341" s="122"/>
      <c r="M341" s="74">
        <v>5000</v>
      </c>
      <c r="N341" s="75" t="s">
        <v>19</v>
      </c>
      <c r="O341" s="75" t="s">
        <v>54</v>
      </c>
      <c r="P341" s="134" t="str">
        <f>IF(AND('331-CT'!$E$7=TH!H341,OR(N341="331",O341="331")),"x","")</f>
        <v/>
      </c>
    </row>
    <row r="342" spans="1:16" s="109" customFormat="1" ht="18" hidden="1" customHeigh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122"/>
      <c r="J342" s="122"/>
      <c r="K342" s="122"/>
      <c r="L342" s="122"/>
      <c r="M342" s="74">
        <v>50000</v>
      </c>
      <c r="N342" s="75" t="s">
        <v>241</v>
      </c>
      <c r="O342" s="75" t="s">
        <v>54</v>
      </c>
      <c r="P342" s="134" t="str">
        <f>IF(AND('331-CT'!$E$7=TH!H342,OR(N342="331",O342="331")),"x","")</f>
        <v/>
      </c>
    </row>
    <row r="343" spans="1:16" s="109" customFormat="1" ht="18" hidden="1" customHeigh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122"/>
      <c r="J343" s="122"/>
      <c r="K343" s="122"/>
      <c r="L343" s="122"/>
      <c r="M343" s="74">
        <v>5000</v>
      </c>
      <c r="N343" s="75" t="s">
        <v>19</v>
      </c>
      <c r="O343" s="75" t="s">
        <v>54</v>
      </c>
      <c r="P343" s="134" t="str">
        <f>IF(AND('331-CT'!$E$7=TH!H343,OR(N343="331",O343="331")),"x","")</f>
        <v/>
      </c>
    </row>
    <row r="344" spans="1:16" s="109" customFormat="1" ht="18" hidden="1" customHeigh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"/>
      <c r="J344" s="7"/>
      <c r="K344" s="7"/>
      <c r="L344" s="7"/>
      <c r="M344" s="74">
        <v>16327199</v>
      </c>
      <c r="N344" s="75" t="s">
        <v>18</v>
      </c>
      <c r="O344" s="75" t="s">
        <v>54</v>
      </c>
      <c r="P344" s="134" t="str">
        <f>IF(AND('331-CT'!$E$7=TH!H344,OR(N344="331",O344="331")),"x","")</f>
        <v/>
      </c>
    </row>
    <row r="345" spans="1:16" s="109" customFormat="1" ht="18" hidden="1" customHeigh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"/>
      <c r="J345" s="7"/>
      <c r="K345" s="7"/>
      <c r="L345" s="7"/>
      <c r="M345" s="74">
        <v>25000</v>
      </c>
      <c r="N345" s="75" t="s">
        <v>241</v>
      </c>
      <c r="O345" s="75" t="s">
        <v>54</v>
      </c>
      <c r="P345" s="134" t="str">
        <f>IF(AND('331-CT'!$E$7=TH!H345,OR(N345="331",O345="331")),"x","")</f>
        <v/>
      </c>
    </row>
    <row r="346" spans="1:16" s="109" customFormat="1" ht="18" hidden="1" customHeigh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124"/>
      <c r="J346" s="124"/>
      <c r="K346" s="124"/>
      <c r="L346" s="124"/>
      <c r="M346" s="74">
        <v>2500</v>
      </c>
      <c r="N346" s="75" t="s">
        <v>19</v>
      </c>
      <c r="O346" s="75" t="s">
        <v>54</v>
      </c>
      <c r="P346" s="134" t="str">
        <f>IF(AND('331-CT'!$E$7=TH!H346,OR(N346="331",O346="331")),"x","")</f>
        <v/>
      </c>
    </row>
    <row r="347" spans="1:16" s="109" customFormat="1" ht="18" hidden="1" customHeigh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122"/>
      <c r="J347" s="122"/>
      <c r="K347" s="122"/>
      <c r="L347" s="122"/>
      <c r="M347" s="74">
        <v>34408000</v>
      </c>
      <c r="N347" s="75" t="s">
        <v>18</v>
      </c>
      <c r="O347" s="75" t="s">
        <v>54</v>
      </c>
      <c r="P347" s="134" t="str">
        <f>IF(AND('331-CT'!$E$7=TH!H347,OR(N347="331",O347="331")),"x","")</f>
        <v/>
      </c>
    </row>
    <row r="348" spans="1:16" s="109" customFormat="1" ht="18" hidden="1" customHeigh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122"/>
      <c r="J348" s="122"/>
      <c r="K348" s="122"/>
      <c r="L348" s="122"/>
      <c r="M348" s="74">
        <v>25000</v>
      </c>
      <c r="N348" s="75" t="s">
        <v>241</v>
      </c>
      <c r="O348" s="75" t="s">
        <v>54</v>
      </c>
      <c r="P348" s="134" t="str">
        <f>IF(AND('331-CT'!$E$7=TH!H348,OR(N348="331",O348="331")),"x","")</f>
        <v/>
      </c>
    </row>
    <row r="349" spans="1:16" s="109" customFormat="1" ht="18" hidden="1" customHeigh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122"/>
      <c r="J349" s="122"/>
      <c r="K349" s="122"/>
      <c r="L349" s="122"/>
      <c r="M349" s="74">
        <v>2500</v>
      </c>
      <c r="N349" s="75" t="s">
        <v>19</v>
      </c>
      <c r="O349" s="75" t="s">
        <v>54</v>
      </c>
      <c r="P349" s="134" t="str">
        <f>IF(AND('331-CT'!$E$7=TH!H349,OR(N349="331",O349="331")),"x","")</f>
        <v/>
      </c>
    </row>
    <row r="350" spans="1:16" s="109" customFormat="1" ht="18" hidden="1" customHeigh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122"/>
      <c r="J350" s="122"/>
      <c r="K350" s="122"/>
      <c r="L350" s="122"/>
      <c r="M350" s="74">
        <v>28000005</v>
      </c>
      <c r="N350" s="75" t="s">
        <v>654</v>
      </c>
      <c r="O350" s="75" t="s">
        <v>18</v>
      </c>
      <c r="P350" s="134" t="str">
        <f>IF(AND('331-CT'!$E$7=TH!H350,OR(N350="331",O350="331")),"x","")</f>
        <v/>
      </c>
    </row>
    <row r="351" spans="1:16" s="109" customFormat="1" ht="18" hidden="1" customHeigh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122"/>
      <c r="J351" s="122"/>
      <c r="K351" s="122"/>
      <c r="L351" s="122"/>
      <c r="M351" s="74">
        <v>2800000</v>
      </c>
      <c r="N351" s="75" t="s">
        <v>19</v>
      </c>
      <c r="O351" s="75" t="s">
        <v>18</v>
      </c>
      <c r="P351" s="134" t="str">
        <f>IF(AND('331-CT'!$E$7=TH!H351,OR(N351="331",O351="331")),"x","")</f>
        <v/>
      </c>
    </row>
    <row r="352" spans="1:16" s="109" customFormat="1" ht="18" hidden="1" customHeigh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123"/>
      <c r="J352" s="123"/>
      <c r="K352" s="123"/>
      <c r="L352" s="123"/>
      <c r="M352" s="74">
        <v>323824160</v>
      </c>
      <c r="N352" s="75" t="s">
        <v>18</v>
      </c>
      <c r="O352" s="75" t="s">
        <v>54</v>
      </c>
      <c r="P352" s="134" t="str">
        <f>IF(AND('331-CT'!$E$7=TH!H352,OR(N352="331",O352="331")),"x","")</f>
        <v/>
      </c>
    </row>
    <row r="353" spans="1:16" s="109" customFormat="1" ht="18" hidden="1" customHeigh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9"/>
      <c r="J353" s="9"/>
      <c r="K353" s="9"/>
      <c r="L353" s="9"/>
      <c r="M353" s="74">
        <v>97147</v>
      </c>
      <c r="N353" s="75" t="s">
        <v>241</v>
      </c>
      <c r="O353" s="75" t="s">
        <v>54</v>
      </c>
      <c r="P353" s="134" t="str">
        <f>IF(AND('331-CT'!$E$7=TH!H353,OR(N353="331",O353="331")),"x","")</f>
        <v/>
      </c>
    </row>
    <row r="354" spans="1:16" s="109" customFormat="1" ht="18" hidden="1" customHeigh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122"/>
      <c r="J354" s="122"/>
      <c r="K354" s="122"/>
      <c r="L354" s="122"/>
      <c r="M354" s="74">
        <v>9715</v>
      </c>
      <c r="N354" s="75" t="s">
        <v>19</v>
      </c>
      <c r="O354" s="75" t="s">
        <v>54</v>
      </c>
      <c r="P354" s="134" t="str">
        <f>IF(AND('331-CT'!$E$7=TH!H354,OR(N354="331",O354="331")),"x","")</f>
        <v/>
      </c>
    </row>
    <row r="355" spans="1:16" s="109" customFormat="1" ht="18" hidden="1" customHeigh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122"/>
      <c r="J355" s="122"/>
      <c r="K355" s="122"/>
      <c r="L355" s="122"/>
      <c r="M355" s="74">
        <v>25000000</v>
      </c>
      <c r="N355" s="75" t="s">
        <v>39</v>
      </c>
      <c r="O355" s="75" t="s">
        <v>203</v>
      </c>
      <c r="P355" s="134" t="str">
        <f>IF(AND('331-CT'!$E$7=TH!H355,OR(N355="331",O355="331")),"x","")</f>
        <v/>
      </c>
    </row>
    <row r="356" spans="1:16" s="109" customFormat="1" ht="18" hidden="1" customHeigh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122"/>
      <c r="J356" s="122"/>
      <c r="K356" s="122"/>
      <c r="L356" s="122"/>
      <c r="M356" s="74">
        <v>25000000</v>
      </c>
      <c r="N356" s="75" t="s">
        <v>54</v>
      </c>
      <c r="O356" s="75" t="s">
        <v>39</v>
      </c>
      <c r="P356" s="134" t="str">
        <f>IF(AND('331-CT'!$E$7=TH!H356,OR(N356="331",O356="331")),"x","")</f>
        <v/>
      </c>
    </row>
    <row r="357" spans="1:16" s="109" customFormat="1" ht="18" hidden="1" customHeigh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122"/>
      <c r="J357" s="122"/>
      <c r="K357" s="122"/>
      <c r="L357" s="122"/>
      <c r="M357" s="74">
        <v>8333333</v>
      </c>
      <c r="N357" s="75" t="s">
        <v>239</v>
      </c>
      <c r="O357" s="75" t="s">
        <v>54</v>
      </c>
      <c r="P357" s="134" t="str">
        <f>IF(AND('331-CT'!$E$7=TH!H357,OR(N357="331",O357="331")),"x","")</f>
        <v/>
      </c>
    </row>
    <row r="358" spans="1:16" s="109" customFormat="1" ht="18" hidden="1" customHeigh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122"/>
      <c r="J358" s="122"/>
      <c r="K358" s="122"/>
      <c r="L358" s="122"/>
      <c r="M358" s="74">
        <v>262727273</v>
      </c>
      <c r="N358" s="75" t="s">
        <v>654</v>
      </c>
      <c r="O358" s="75" t="s">
        <v>18</v>
      </c>
      <c r="P358" s="134" t="str">
        <f>IF(AND('331-CT'!$E$7=TH!H358,OR(N358="331",O358="331")),"x","")</f>
        <v/>
      </c>
    </row>
    <row r="359" spans="1:16" s="109" customFormat="1" ht="18" hidden="1" customHeigh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9"/>
      <c r="J359" s="9"/>
      <c r="K359" s="9"/>
      <c r="L359" s="9"/>
      <c r="M359" s="74">
        <v>26272727</v>
      </c>
      <c r="N359" s="75" t="s">
        <v>19</v>
      </c>
      <c r="O359" s="75" t="s">
        <v>18</v>
      </c>
      <c r="P359" s="134" t="str">
        <f>IF(AND('331-CT'!$E$7=TH!H359,OR(N359="331",O359="331")),"x","")</f>
        <v/>
      </c>
    </row>
    <row r="360" spans="1:16" s="109" customFormat="1" ht="18" hidden="1" customHeigh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122"/>
      <c r="J360" s="122"/>
      <c r="K360" s="122"/>
      <c r="L360" s="122"/>
      <c r="M360" s="74">
        <v>31280000</v>
      </c>
      <c r="N360" s="75" t="s">
        <v>241</v>
      </c>
      <c r="O360" s="75" t="s">
        <v>18</v>
      </c>
      <c r="P360" s="134" t="str">
        <f>IF(AND('331-CT'!$E$7=TH!H360,OR(N360="331",O360="331")),"x","")</f>
        <v/>
      </c>
    </row>
    <row r="361" spans="1:16" s="109" customFormat="1" ht="18" hidden="1" customHeigh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122"/>
      <c r="J361" s="122"/>
      <c r="K361" s="122"/>
      <c r="L361" s="122"/>
      <c r="M361" s="74">
        <v>3128000</v>
      </c>
      <c r="N361" s="75" t="s">
        <v>19</v>
      </c>
      <c r="O361" s="75" t="s">
        <v>18</v>
      </c>
      <c r="P361" s="134" t="str">
        <f>IF(AND('331-CT'!$E$7=TH!H361,OR(N361="331",O361="331")),"x","")</f>
        <v/>
      </c>
    </row>
    <row r="362" spans="1:16" s="109" customFormat="1" ht="18" hidden="1" customHeigh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9"/>
      <c r="J362" s="9"/>
      <c r="K362" s="9"/>
      <c r="L362" s="9"/>
      <c r="M362" s="74">
        <v>1600000000</v>
      </c>
      <c r="N362" s="75" t="s">
        <v>54</v>
      </c>
      <c r="O362" s="75" t="s">
        <v>227</v>
      </c>
      <c r="P362" s="134" t="str">
        <f>IF(AND('331-CT'!$E$7=TH!H362,OR(N362="331",O362="331")),"x","")</f>
        <v/>
      </c>
    </row>
    <row r="363" spans="1:16" s="109" customFormat="1" ht="18" hidden="1" customHeigh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122"/>
      <c r="J363" s="122"/>
      <c r="K363" s="122"/>
      <c r="L363" s="122"/>
      <c r="M363" s="74">
        <v>1500000000</v>
      </c>
      <c r="N363" s="75" t="s">
        <v>18</v>
      </c>
      <c r="O363" s="75" t="s">
        <v>54</v>
      </c>
      <c r="P363" s="134" t="str">
        <f>IF(AND('331-CT'!$E$7=TH!H363,OR(N363="331",O363="331")),"x","")</f>
        <v/>
      </c>
    </row>
    <row r="364" spans="1:16" s="109" customFormat="1" ht="18" hidden="1" customHeigh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122"/>
      <c r="J364" s="122"/>
      <c r="K364" s="122"/>
      <c r="L364" s="122"/>
      <c r="M364" s="74">
        <v>750000</v>
      </c>
      <c r="N364" s="75" t="s">
        <v>241</v>
      </c>
      <c r="O364" s="75" t="s">
        <v>54</v>
      </c>
      <c r="P364" s="134" t="str">
        <f>IF(AND('331-CT'!$E$7=TH!H364,OR(N364="331",O364="331")),"x","")</f>
        <v/>
      </c>
    </row>
    <row r="365" spans="1:16" s="109" customFormat="1" ht="18" hidden="1" customHeigh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9"/>
      <c r="J365" s="9"/>
      <c r="K365" s="9"/>
      <c r="L365" s="9"/>
      <c r="M365" s="74">
        <v>75000</v>
      </c>
      <c r="N365" s="75" t="s">
        <v>19</v>
      </c>
      <c r="O365" s="75" t="s">
        <v>54</v>
      </c>
      <c r="P365" s="134" t="str">
        <f>IF(AND('331-CT'!$E$7=TH!H365,OR(N365="331",O365="331")),"x","")</f>
        <v/>
      </c>
    </row>
    <row r="366" spans="1:16" s="109" customFormat="1" ht="18" hidden="1" customHeigh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122"/>
      <c r="J366" s="122"/>
      <c r="K366" s="122"/>
      <c r="L366" s="122"/>
      <c r="M366" s="74">
        <v>322248</v>
      </c>
      <c r="N366" s="75" t="s">
        <v>54</v>
      </c>
      <c r="O366" s="75" t="s">
        <v>99</v>
      </c>
      <c r="P366" s="134" t="str">
        <f>IF(AND('331-CT'!$E$7=TH!H366,OR(N366="331",O366="331")),"x","")</f>
        <v/>
      </c>
    </row>
    <row r="367" spans="1:16" s="109" customFormat="1" ht="18" hidden="1" customHeigh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122"/>
      <c r="J367" s="122"/>
      <c r="K367" s="122"/>
      <c r="L367" s="122"/>
      <c r="M367" s="74">
        <v>30800005</v>
      </c>
      <c r="N367" s="75" t="s">
        <v>18</v>
      </c>
      <c r="O367" s="75" t="s">
        <v>54</v>
      </c>
      <c r="P367" s="134" t="str">
        <f>IF(AND('331-CT'!$E$7=TH!H367,OR(N367="331",O367="331")),"x","")</f>
        <v/>
      </c>
    </row>
    <row r="368" spans="1:16" s="109" customFormat="1" ht="18" hidden="1" customHeigh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9"/>
      <c r="J368" s="9"/>
      <c r="K368" s="9"/>
      <c r="L368" s="9"/>
      <c r="M368" s="74">
        <v>25000</v>
      </c>
      <c r="N368" s="75" t="s">
        <v>241</v>
      </c>
      <c r="O368" s="75" t="s">
        <v>54</v>
      </c>
      <c r="P368" s="134" t="str">
        <f>IF(AND('331-CT'!$E$7=TH!H368,OR(N368="331",O368="331")),"x","")</f>
        <v/>
      </c>
    </row>
    <row r="369" spans="1:16" s="109" customFormat="1" ht="18" hidden="1" customHeigh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122"/>
      <c r="J369" s="122"/>
      <c r="K369" s="122"/>
      <c r="L369" s="122"/>
      <c r="M369" s="74">
        <v>2500</v>
      </c>
      <c r="N369" s="75" t="s">
        <v>19</v>
      </c>
      <c r="O369" s="75" t="s">
        <v>54</v>
      </c>
      <c r="P369" s="134" t="str">
        <f>IF(AND('331-CT'!$E$7=TH!H369,OR(N369="331",O369="331")),"x","")</f>
        <v/>
      </c>
    </row>
    <row r="370" spans="1:16" s="109" customFormat="1" ht="18" hidden="1" customHeigh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123"/>
      <c r="J370" s="123"/>
      <c r="K370" s="123"/>
      <c r="L370" s="123"/>
      <c r="M370" s="74">
        <v>49000000</v>
      </c>
      <c r="N370" s="75" t="s">
        <v>18</v>
      </c>
      <c r="O370" s="75" t="s">
        <v>54</v>
      </c>
      <c r="P370" s="134" t="str">
        <f>IF(AND('331-CT'!$E$7=TH!H370,OR(N370="331",O370="331")),"x","")</f>
        <v/>
      </c>
    </row>
    <row r="371" spans="1:16" s="109" customFormat="1" ht="18" hidden="1" customHeigh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122"/>
      <c r="J371" s="122"/>
      <c r="K371" s="122"/>
      <c r="L371" s="122"/>
      <c r="M371" s="74">
        <v>25000</v>
      </c>
      <c r="N371" s="75" t="s">
        <v>241</v>
      </c>
      <c r="O371" s="75" t="s">
        <v>54</v>
      </c>
      <c r="P371" s="134" t="str">
        <f>IF(AND('331-CT'!$E$7=TH!H371,OR(N371="331",O371="331")),"x","")</f>
        <v/>
      </c>
    </row>
    <row r="372" spans="1:16" s="109" customFormat="1" ht="18" hidden="1" customHeigh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122"/>
      <c r="J372" s="122"/>
      <c r="K372" s="122"/>
      <c r="L372" s="122"/>
      <c r="M372" s="74">
        <v>2500</v>
      </c>
      <c r="N372" s="75" t="s">
        <v>19</v>
      </c>
      <c r="O372" s="75" t="s">
        <v>54</v>
      </c>
      <c r="P372" s="134" t="str">
        <f>IF(AND('331-CT'!$E$7=TH!H372,OR(N372="331",O372="331")),"x","")</f>
        <v/>
      </c>
    </row>
    <row r="373" spans="1:16" s="109" customFormat="1" ht="18" hidden="1" customHeigh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123"/>
      <c r="J373" s="123"/>
      <c r="K373" s="123"/>
      <c r="L373" s="123"/>
      <c r="M373" s="74">
        <v>500000000</v>
      </c>
      <c r="N373" s="75" t="s">
        <v>18</v>
      </c>
      <c r="O373" s="75" t="s">
        <v>54</v>
      </c>
      <c r="P373" s="134" t="str">
        <f>IF(AND('331-CT'!$E$7=TH!H373,OR(N373="331",O373="331")),"x","")</f>
        <v/>
      </c>
    </row>
    <row r="374" spans="1:16" s="109" customFormat="1" ht="18" hidden="1" customHeigh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122"/>
      <c r="J374" s="122"/>
      <c r="K374" s="122"/>
      <c r="L374" s="122"/>
      <c r="M374" s="74">
        <v>150000</v>
      </c>
      <c r="N374" s="75" t="s">
        <v>241</v>
      </c>
      <c r="O374" s="75" t="s">
        <v>54</v>
      </c>
      <c r="P374" s="134" t="str">
        <f>IF(AND('331-CT'!$E$7=TH!H374,OR(N374="331",O374="331")),"x","")</f>
        <v/>
      </c>
    </row>
    <row r="375" spans="1:16" s="109" customFormat="1" ht="18" hidden="1" customHeigh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122"/>
      <c r="J375" s="122"/>
      <c r="K375" s="122"/>
      <c r="L375" s="122"/>
      <c r="M375" s="74">
        <v>15000</v>
      </c>
      <c r="N375" s="75" t="s">
        <v>19</v>
      </c>
      <c r="O375" s="75" t="s">
        <v>54</v>
      </c>
      <c r="P375" s="134" t="str">
        <f>IF(AND('331-CT'!$E$7=TH!H375,OR(N375="331",O375="331")),"x","")</f>
        <v/>
      </c>
    </row>
    <row r="376" spans="1:16" s="109" customFormat="1" ht="18" hidden="1" customHeigh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124"/>
      <c r="J376" s="124"/>
      <c r="K376" s="124"/>
      <c r="L376" s="124"/>
      <c r="M376" s="74">
        <v>14842908</v>
      </c>
      <c r="N376" s="75" t="s">
        <v>654</v>
      </c>
      <c r="O376" s="75" t="s">
        <v>18</v>
      </c>
      <c r="P376" s="134" t="str">
        <f>IF(AND('331-CT'!$E$7=TH!H376,OR(N376="331",O376="331")),"x","")</f>
        <v/>
      </c>
    </row>
    <row r="377" spans="1:16" s="109" customFormat="1" ht="18" hidden="1" customHeigh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124"/>
      <c r="J377" s="124"/>
      <c r="K377" s="124"/>
      <c r="L377" s="124"/>
      <c r="M377" s="74">
        <v>1484291</v>
      </c>
      <c r="N377" s="75" t="s">
        <v>19</v>
      </c>
      <c r="O377" s="75" t="s">
        <v>18</v>
      </c>
      <c r="P377" s="134" t="str">
        <f>IF(AND('331-CT'!$E$7=TH!H377,OR(N377="331",O377="331")),"x","")</f>
        <v/>
      </c>
    </row>
    <row r="378" spans="1:16" s="109" customFormat="1" ht="18" hidden="1" customHeigh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124"/>
      <c r="J378" s="124"/>
      <c r="K378" s="124"/>
      <c r="L378" s="124"/>
      <c r="M378" s="74">
        <v>2160000</v>
      </c>
      <c r="N378" s="75" t="s">
        <v>241</v>
      </c>
      <c r="O378" s="75" t="s">
        <v>203</v>
      </c>
      <c r="P378" s="134" t="str">
        <f>IF(AND('331-CT'!$E$7=TH!H378,OR(N378="331",O378="331")),"x","")</f>
        <v/>
      </c>
    </row>
    <row r="379" spans="1:16" s="109" customFormat="1" ht="18" hidden="1" customHeigh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124"/>
      <c r="J379" s="124"/>
      <c r="K379" s="124"/>
      <c r="L379" s="124"/>
      <c r="M379" s="74">
        <v>216000</v>
      </c>
      <c r="N379" s="75" t="s">
        <v>19</v>
      </c>
      <c r="O379" s="75" t="s">
        <v>203</v>
      </c>
      <c r="P379" s="134" t="str">
        <f>IF(AND('331-CT'!$E$7=TH!H379,OR(N379="331",O379="331")),"x","")</f>
        <v/>
      </c>
    </row>
    <row r="380" spans="1:16" s="109" customFormat="1" ht="18" hidden="1" customHeigh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124"/>
      <c r="J380" s="124"/>
      <c r="K380" s="124"/>
      <c r="L380" s="124"/>
      <c r="M380" s="74">
        <v>40500000</v>
      </c>
      <c r="N380" s="136" t="s">
        <v>39</v>
      </c>
      <c r="O380" s="136" t="s">
        <v>203</v>
      </c>
      <c r="P380" s="134" t="str">
        <f>IF(AND('331-CT'!$E$7=TH!H380,OR(N380="331",O380="331")),"x","")</f>
        <v/>
      </c>
    </row>
    <row r="381" spans="1:16" s="109" customFormat="1" ht="18" hidden="1" customHeigh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124"/>
      <c r="J381" s="124"/>
      <c r="K381" s="124"/>
      <c r="L381" s="124"/>
      <c r="M381" s="74">
        <v>40500000</v>
      </c>
      <c r="N381" s="136" t="s">
        <v>54</v>
      </c>
      <c r="O381" s="136" t="s">
        <v>39</v>
      </c>
      <c r="P381" s="134" t="str">
        <f>IF(AND('331-CT'!$E$7=TH!H381,OR(N381="331",O381="331")),"x","")</f>
        <v/>
      </c>
    </row>
    <row r="382" spans="1:16" s="109" customFormat="1" ht="18" hidden="1" customHeigh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122"/>
      <c r="J382" s="122"/>
      <c r="K382" s="122"/>
      <c r="L382" s="122"/>
      <c r="M382" s="74">
        <v>8614699</v>
      </c>
      <c r="N382" s="75" t="s">
        <v>239</v>
      </c>
      <c r="O382" s="75" t="s">
        <v>54</v>
      </c>
      <c r="P382" s="134" t="str">
        <f>IF(AND('331-CT'!$E$7=TH!H382,OR(N382="331",O382="331")),"x","")</f>
        <v/>
      </c>
    </row>
    <row r="383" spans="1:16" s="109" customFormat="1" ht="18" hidden="1" customHeigh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122"/>
      <c r="J383" s="122"/>
      <c r="K383" s="122"/>
      <c r="L383" s="122"/>
      <c r="M383" s="74">
        <v>31679861</v>
      </c>
      <c r="N383" s="75" t="s">
        <v>239</v>
      </c>
      <c r="O383" s="75" t="s">
        <v>54</v>
      </c>
      <c r="P383" s="134" t="str">
        <f>IF(AND('331-CT'!$E$7=TH!H383,OR(N383="331",O383="331")),"x","")</f>
        <v/>
      </c>
    </row>
    <row r="384" spans="1:16" s="109" customFormat="1" ht="18" hidden="1" customHeigh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122"/>
      <c r="J384" s="122"/>
      <c r="K384" s="122"/>
      <c r="L384" s="122"/>
      <c r="M384" s="74">
        <v>1000000000</v>
      </c>
      <c r="N384" s="75" t="s">
        <v>18</v>
      </c>
      <c r="O384" s="75" t="s">
        <v>54</v>
      </c>
      <c r="P384" s="134" t="str">
        <f>IF(AND('331-CT'!$E$7=TH!H384,OR(N384="331",O384="331")),"x","")</f>
        <v/>
      </c>
    </row>
    <row r="385" spans="1:16" s="109" customFormat="1" ht="18" hidden="1" customHeigh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122"/>
      <c r="J385" s="122"/>
      <c r="K385" s="122"/>
      <c r="L385" s="122"/>
      <c r="M385" s="74">
        <v>500000</v>
      </c>
      <c r="N385" s="75" t="s">
        <v>241</v>
      </c>
      <c r="O385" s="75" t="s">
        <v>54</v>
      </c>
      <c r="P385" s="134" t="str">
        <f>IF(AND('331-CT'!$E$7=TH!H385,OR(N385="331",O385="331")),"x","")</f>
        <v/>
      </c>
    </row>
    <row r="386" spans="1:16" s="109" customFormat="1" ht="18" hidden="1" customHeigh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122"/>
      <c r="J386" s="122"/>
      <c r="K386" s="122"/>
      <c r="L386" s="122"/>
      <c r="M386" s="74">
        <v>50000</v>
      </c>
      <c r="N386" s="75" t="s">
        <v>19</v>
      </c>
      <c r="O386" s="75" t="s">
        <v>54</v>
      </c>
      <c r="P386" s="134" t="str">
        <f>IF(AND('331-CT'!$E$7=TH!H386,OR(N386="331",O386="331")),"x","")</f>
        <v/>
      </c>
    </row>
    <row r="387" spans="1:16" s="109" customFormat="1" ht="18" hidden="1" customHeigh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123"/>
      <c r="J387" s="123"/>
      <c r="K387" s="123"/>
      <c r="L387" s="123"/>
      <c r="M387" s="74">
        <v>1500000000</v>
      </c>
      <c r="N387" s="75" t="s">
        <v>54</v>
      </c>
      <c r="O387" s="75" t="s">
        <v>227</v>
      </c>
      <c r="P387" s="134" t="str">
        <f>IF(AND('331-CT'!$E$7=TH!H387,OR(N387="331",O387="331")),"x","")</f>
        <v/>
      </c>
    </row>
    <row r="388" spans="1:16" s="109" customFormat="1" ht="18" hidden="1" customHeigh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122"/>
      <c r="J388" s="122"/>
      <c r="K388" s="122"/>
      <c r="L388" s="122"/>
      <c r="M388" s="74">
        <v>61267</v>
      </c>
      <c r="N388" s="75" t="s">
        <v>54</v>
      </c>
      <c r="O388" s="75" t="s">
        <v>99</v>
      </c>
      <c r="P388" s="134" t="str">
        <f>IF(AND('331-CT'!$E$7=TH!H388,OR(N388="331",O388="331")),"x","")</f>
        <v/>
      </c>
    </row>
    <row r="389" spans="1:16" s="109" customFormat="1" ht="18" hidden="1" customHeigh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122"/>
      <c r="J389" s="122"/>
      <c r="K389" s="122"/>
      <c r="L389" s="122"/>
      <c r="M389" s="74">
        <v>1000000000</v>
      </c>
      <c r="N389" s="75" t="s">
        <v>18</v>
      </c>
      <c r="O389" s="75" t="s">
        <v>54</v>
      </c>
      <c r="P389" s="134" t="str">
        <f>IF(AND('331-CT'!$E$7=TH!H389,OR(N389="331",O389="331")),"x","")</f>
        <v/>
      </c>
    </row>
    <row r="390" spans="1:16" s="109" customFormat="1" ht="18" hidden="1" customHeigh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122"/>
      <c r="J390" s="122"/>
      <c r="K390" s="122"/>
      <c r="L390" s="122"/>
      <c r="M390" s="74">
        <v>1000000000</v>
      </c>
      <c r="N390" s="75" t="s">
        <v>54</v>
      </c>
      <c r="O390" s="75" t="s">
        <v>227</v>
      </c>
      <c r="P390" s="134" t="str">
        <f>IF(AND('331-CT'!$E$7=TH!H390,OR(N390="331",O390="331")),"x","")</f>
        <v/>
      </c>
    </row>
    <row r="391" spans="1:16" s="109" customFormat="1" ht="18" hidden="1" customHeigh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122"/>
      <c r="J391" s="122"/>
      <c r="K391" s="122"/>
      <c r="L391" s="122"/>
      <c r="M391" s="74">
        <v>8336805</v>
      </c>
      <c r="N391" s="136" t="s">
        <v>239</v>
      </c>
      <c r="O391" s="75" t="s">
        <v>54</v>
      </c>
      <c r="P391" s="134" t="str">
        <f>IF(AND('331-CT'!$E$7=TH!H391,OR(N391="331",O391="331")),"x","")</f>
        <v/>
      </c>
    </row>
    <row r="392" spans="1:16" s="109" customFormat="1" ht="18" hidden="1" customHeigh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122"/>
      <c r="J392" s="122"/>
      <c r="K392" s="122"/>
      <c r="L392" s="122"/>
      <c r="M392" s="74">
        <v>16673611</v>
      </c>
      <c r="N392" s="136" t="s">
        <v>239</v>
      </c>
      <c r="O392" s="75" t="s">
        <v>54</v>
      </c>
      <c r="P392" s="134" t="str">
        <f>IF(AND('331-CT'!$E$7=TH!H392,OR(N392="331",O392="331")),"x","")</f>
        <v/>
      </c>
    </row>
    <row r="393" spans="1:16" s="109" customFormat="1" ht="18" hidden="1" customHeigh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9"/>
      <c r="J393" s="9"/>
      <c r="K393" s="9"/>
      <c r="L393" s="9"/>
      <c r="M393" s="74">
        <v>25788519</v>
      </c>
      <c r="N393" s="75" t="s">
        <v>239</v>
      </c>
      <c r="O393" s="75" t="s">
        <v>54</v>
      </c>
      <c r="P393" s="134" t="str">
        <f>IF(AND('331-CT'!$E$7=TH!H393,OR(N393="331",O393="331")),"x","")</f>
        <v/>
      </c>
    </row>
    <row r="394" spans="1:16" s="109" customFormat="1" ht="18" hidden="1" customHeigh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122"/>
      <c r="J394" s="122"/>
      <c r="K394" s="122"/>
      <c r="L394" s="122"/>
      <c r="M394" s="74">
        <v>51000000</v>
      </c>
      <c r="N394" s="75" t="s">
        <v>54</v>
      </c>
      <c r="O394" s="75" t="s">
        <v>203</v>
      </c>
      <c r="P394" s="134" t="str">
        <f>IF(AND('331-CT'!$E$7=TH!H394,OR(N394="331",O394="331")),"x","")</f>
        <v/>
      </c>
    </row>
    <row r="395" spans="1:16" s="109" customFormat="1" ht="18" hidden="1" customHeigh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122"/>
      <c r="J395" s="122"/>
      <c r="K395" s="122"/>
      <c r="L395" s="122"/>
      <c r="M395" s="74">
        <v>50000</v>
      </c>
      <c r="N395" s="75" t="s">
        <v>241</v>
      </c>
      <c r="O395" s="75" t="s">
        <v>54</v>
      </c>
      <c r="P395" s="134" t="str">
        <f>IF(AND('331-CT'!$E$7=TH!H395,OR(N395="331",O395="331")),"x","")</f>
        <v/>
      </c>
    </row>
    <row r="396" spans="1:16" s="109" customFormat="1" ht="18" hidden="1" customHeigh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9"/>
      <c r="J396" s="9"/>
      <c r="K396" s="9"/>
      <c r="L396" s="9"/>
      <c r="M396" s="74">
        <v>5000</v>
      </c>
      <c r="N396" s="75" t="s">
        <v>19</v>
      </c>
      <c r="O396" s="75" t="s">
        <v>54</v>
      </c>
      <c r="P396" s="134" t="str">
        <f>IF(AND('331-CT'!$E$7=TH!H396,OR(N396="331",O396="331")),"x","")</f>
        <v/>
      </c>
    </row>
    <row r="397" spans="1:16" s="109" customFormat="1" ht="18" hidden="1" customHeigh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122"/>
      <c r="J397" s="122"/>
      <c r="K397" s="122"/>
      <c r="L397" s="122"/>
      <c r="M397" s="74">
        <v>50000</v>
      </c>
      <c r="N397" s="75" t="s">
        <v>241</v>
      </c>
      <c r="O397" s="75" t="s">
        <v>54</v>
      </c>
      <c r="P397" s="134" t="str">
        <f>IF(AND('331-CT'!$E$7=TH!H397,OR(N397="331",O397="331")),"x","")</f>
        <v/>
      </c>
    </row>
    <row r="398" spans="1:16" s="109" customFormat="1" ht="18" hidden="1" customHeigh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122"/>
      <c r="J398" s="122"/>
      <c r="K398" s="122"/>
      <c r="L398" s="122"/>
      <c r="M398" s="74">
        <v>5000</v>
      </c>
      <c r="N398" s="75" t="s">
        <v>19</v>
      </c>
      <c r="O398" s="75" t="s">
        <v>54</v>
      </c>
      <c r="P398" s="134" t="str">
        <f>IF(AND('331-CT'!$E$7=TH!H398,OR(N398="331",O398="331")),"x","")</f>
        <v/>
      </c>
    </row>
    <row r="399" spans="1:16" s="109" customFormat="1" ht="18" hidden="1" customHeigh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122"/>
      <c r="J399" s="122"/>
      <c r="K399" s="122"/>
      <c r="L399" s="122"/>
      <c r="M399" s="74">
        <v>50000</v>
      </c>
      <c r="N399" s="75" t="s">
        <v>241</v>
      </c>
      <c r="O399" s="75" t="s">
        <v>54</v>
      </c>
      <c r="P399" s="134" t="str">
        <f>IF(AND('331-CT'!$E$7=TH!H399,OR(N399="331",O399="331")),"x","")</f>
        <v/>
      </c>
    </row>
    <row r="400" spans="1:16" s="109" customFormat="1" ht="18" hidden="1" customHeigh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122"/>
      <c r="J400" s="122"/>
      <c r="K400" s="122"/>
      <c r="L400" s="122"/>
      <c r="M400" s="74">
        <v>5000</v>
      </c>
      <c r="N400" s="75" t="s">
        <v>19</v>
      </c>
      <c r="O400" s="75" t="s">
        <v>54</v>
      </c>
      <c r="P400" s="134" t="str">
        <f>IF(AND('331-CT'!$E$7=TH!H400,OR(N400="331",O400="331")),"x","")</f>
        <v/>
      </c>
    </row>
    <row r="401" spans="1:16" s="109" customFormat="1" ht="18" hidden="1" customHeigh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122"/>
      <c r="J401" s="122"/>
      <c r="K401" s="122"/>
      <c r="L401" s="122"/>
      <c r="M401" s="74">
        <v>125079</v>
      </c>
      <c r="N401" s="75" t="s">
        <v>54</v>
      </c>
      <c r="O401" s="75" t="s">
        <v>99</v>
      </c>
      <c r="P401" s="134" t="str">
        <f>IF(AND('331-CT'!$E$7=TH!H401,OR(N401="331",O401="331")),"x","")</f>
        <v/>
      </c>
    </row>
    <row r="402" spans="1:16" s="109" customFormat="1" ht="18" hidden="1" customHeigh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122"/>
      <c r="J402" s="122"/>
      <c r="K402" s="122"/>
      <c r="L402" s="122"/>
      <c r="M402" s="74">
        <v>1000000</v>
      </c>
      <c r="N402" s="75" t="s">
        <v>54</v>
      </c>
      <c r="O402" s="75" t="s">
        <v>203</v>
      </c>
      <c r="P402" s="134" t="str">
        <f>IF(AND('331-CT'!$E$7=TH!H402,OR(N402="331",O402="331")),"x","")</f>
        <v/>
      </c>
    </row>
    <row r="403" spans="1:16" s="109" customFormat="1" ht="18" hidden="1" customHeigh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9"/>
      <c r="J403" s="9"/>
      <c r="K403" s="9"/>
      <c r="L403" s="9"/>
      <c r="M403" s="74">
        <v>500000</v>
      </c>
      <c r="N403" s="75" t="s">
        <v>241</v>
      </c>
      <c r="O403" s="75" t="s">
        <v>54</v>
      </c>
      <c r="P403" s="134" t="str">
        <f>IF(AND('331-CT'!$E$7=TH!H403,OR(N403="331",O403="331")),"x","")</f>
        <v/>
      </c>
    </row>
    <row r="404" spans="1:16" s="109" customFormat="1" ht="18" hidden="1" customHeigh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9"/>
      <c r="J404" s="9"/>
      <c r="K404" s="9"/>
      <c r="L404" s="9"/>
      <c r="M404" s="74">
        <v>50000</v>
      </c>
      <c r="N404" s="75" t="s">
        <v>19</v>
      </c>
      <c r="O404" s="75" t="s">
        <v>54</v>
      </c>
      <c r="P404" s="134" t="str">
        <f>IF(AND('331-CT'!$E$7=TH!H404,OR(N404="331",O404="331")),"x","")</f>
        <v/>
      </c>
    </row>
    <row r="405" spans="1:16" s="109" customFormat="1" ht="18" hidden="1" customHeigh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122"/>
      <c r="J405" s="122"/>
      <c r="K405" s="122"/>
      <c r="L405" s="122"/>
      <c r="M405" s="74">
        <v>500000000</v>
      </c>
      <c r="N405" s="78" t="s">
        <v>18</v>
      </c>
      <c r="O405" s="75" t="s">
        <v>54</v>
      </c>
      <c r="P405" s="134" t="str">
        <f>IF(AND('331-CT'!$E$7=TH!H405,OR(N405="331",O405="331")),"x","")</f>
        <v/>
      </c>
    </row>
    <row r="406" spans="1:16" s="109" customFormat="1" ht="18" hidden="1" customHeigh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122"/>
      <c r="J406" s="122"/>
      <c r="K406" s="122"/>
      <c r="L406" s="122"/>
      <c r="M406" s="74">
        <v>150000</v>
      </c>
      <c r="N406" s="75" t="s">
        <v>241</v>
      </c>
      <c r="O406" s="75" t="s">
        <v>54</v>
      </c>
      <c r="P406" s="134" t="str">
        <f>IF(AND('331-CT'!$E$7=TH!H406,OR(N406="331",O406="331")),"x","")</f>
        <v/>
      </c>
    </row>
    <row r="407" spans="1:16" s="109" customFormat="1" ht="18" hidden="1" customHeigh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122"/>
      <c r="J407" s="122"/>
      <c r="K407" s="122"/>
      <c r="L407" s="122"/>
      <c r="M407" s="74">
        <v>15000</v>
      </c>
      <c r="N407" s="75" t="s">
        <v>19</v>
      </c>
      <c r="O407" s="75" t="s">
        <v>54</v>
      </c>
      <c r="P407" s="134" t="str">
        <f>IF(AND('331-CT'!$E$7=TH!H407,OR(N407="331",O407="331")),"x","")</f>
        <v/>
      </c>
    </row>
    <row r="408" spans="1:16" s="109" customFormat="1" ht="18" hidden="1" customHeigh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120"/>
      <c r="J408" s="120"/>
      <c r="K408" s="120"/>
      <c r="L408" s="120"/>
      <c r="M408" s="74">
        <v>1500000</v>
      </c>
      <c r="N408" s="75" t="s">
        <v>39</v>
      </c>
      <c r="O408" s="75" t="s">
        <v>203</v>
      </c>
      <c r="P408" s="134" t="str">
        <f>IF(AND('331-CT'!$E$7=TH!H408,OR(N408="331",O408="331")),"x","")</f>
        <v/>
      </c>
    </row>
    <row r="409" spans="1:16" s="109" customFormat="1" ht="18" hidden="1" customHeigh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120"/>
      <c r="J409" s="120"/>
      <c r="K409" s="120"/>
      <c r="L409" s="120"/>
      <c r="M409" s="74">
        <v>1500000</v>
      </c>
      <c r="N409" s="75" t="s">
        <v>54</v>
      </c>
      <c r="O409" s="75" t="s">
        <v>39</v>
      </c>
      <c r="P409" s="134" t="str">
        <f>IF(AND('331-CT'!$E$7=TH!H409,OR(N409="331",O409="331")),"x","")</f>
        <v/>
      </c>
    </row>
    <row r="410" spans="1:16" s="109" customFormat="1" ht="18" hidden="1" customHeigh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122"/>
      <c r="J410" s="122"/>
      <c r="K410" s="122"/>
      <c r="L410" s="122"/>
      <c r="M410" s="74">
        <v>1500000</v>
      </c>
      <c r="N410" s="75" t="s">
        <v>241</v>
      </c>
      <c r="O410" s="75" t="s">
        <v>219</v>
      </c>
      <c r="P410" s="134" t="str">
        <f>IF(AND('331-CT'!$E$7=TH!H410,OR(N410="331",O410="331")),"x","")</f>
        <v/>
      </c>
    </row>
    <row r="411" spans="1:16" s="109" customFormat="1" ht="18" hidden="1" customHeigh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122"/>
      <c r="J411" s="122"/>
      <c r="K411" s="122"/>
      <c r="L411" s="122"/>
      <c r="M411" s="74">
        <v>1500000</v>
      </c>
      <c r="N411" s="75" t="s">
        <v>219</v>
      </c>
      <c r="O411" s="75" t="s">
        <v>54</v>
      </c>
      <c r="P411" s="134" t="str">
        <f>IF(AND('331-CT'!$E$7=TH!H411,OR(N411="331",O411="331")),"x","")</f>
        <v/>
      </c>
    </row>
    <row r="412" spans="1:16" s="109" customFormat="1" ht="18" hidden="1" customHeigh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122"/>
      <c r="J412" s="122"/>
      <c r="K412" s="122"/>
      <c r="L412" s="122"/>
      <c r="M412" s="74">
        <v>25000</v>
      </c>
      <c r="N412" s="75" t="s">
        <v>241</v>
      </c>
      <c r="O412" s="75" t="s">
        <v>54</v>
      </c>
      <c r="P412" s="134" t="str">
        <f>IF(AND('331-CT'!$E$7=TH!H412,OR(N412="331",O412="331")),"x","")</f>
        <v/>
      </c>
    </row>
    <row r="413" spans="1:16" s="109" customFormat="1" ht="18" hidden="1" customHeigh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122"/>
      <c r="J413" s="122"/>
      <c r="K413" s="122"/>
      <c r="L413" s="122"/>
      <c r="M413" s="74">
        <v>2500</v>
      </c>
      <c r="N413" s="75" t="s">
        <v>19</v>
      </c>
      <c r="O413" s="75" t="s">
        <v>54</v>
      </c>
      <c r="P413" s="134" t="str">
        <f>IF(AND('331-CT'!$E$7=TH!H413,OR(N413="331",O413="331")),"x","")</f>
        <v/>
      </c>
    </row>
    <row r="414" spans="1:16" s="109" customFormat="1" ht="18" hidden="1" customHeigh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122"/>
      <c r="J414" s="122"/>
      <c r="K414" s="122"/>
      <c r="L414" s="122"/>
      <c r="M414" s="74">
        <v>73000000</v>
      </c>
      <c r="N414" s="75" t="s">
        <v>54</v>
      </c>
      <c r="O414" s="75" t="s">
        <v>203</v>
      </c>
      <c r="P414" s="134" t="str">
        <f>IF(AND('331-CT'!$E$7=TH!H414,OR(N414="331",O414="331")),"x","")</f>
        <v/>
      </c>
    </row>
    <row r="415" spans="1:16" s="109" customFormat="1" ht="18" hidden="1" customHeigh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122"/>
      <c r="J415" s="122"/>
      <c r="K415" s="122"/>
      <c r="L415" s="122"/>
      <c r="M415" s="74">
        <v>8187032</v>
      </c>
      <c r="N415" s="75" t="s">
        <v>239</v>
      </c>
      <c r="O415" s="75" t="s">
        <v>54</v>
      </c>
      <c r="P415" s="134" t="str">
        <f>IF(AND('331-CT'!$E$7=TH!H415,OR(N415="331",O415="331")),"x","")</f>
        <v/>
      </c>
    </row>
    <row r="416" spans="1:16" s="109" customFormat="1" ht="18" hidden="1" customHeigh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122"/>
      <c r="J416" s="122"/>
      <c r="K416" s="122"/>
      <c r="L416" s="122"/>
      <c r="M416" s="74">
        <v>16374064</v>
      </c>
      <c r="N416" s="75" t="s">
        <v>239</v>
      </c>
      <c r="O416" s="75" t="s">
        <v>54</v>
      </c>
      <c r="P416" s="134" t="str">
        <f>IF(AND('331-CT'!$E$7=TH!H416,OR(N416="331",O416="331")),"x","")</f>
        <v/>
      </c>
    </row>
    <row r="417" spans="1:16" s="109" customFormat="1" ht="18" hidden="1" customHeigh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122"/>
      <c r="J417" s="122"/>
      <c r="K417" s="122"/>
      <c r="L417" s="122"/>
      <c r="M417" s="74">
        <v>13099251</v>
      </c>
      <c r="N417" s="75" t="s">
        <v>239</v>
      </c>
      <c r="O417" s="75" t="s">
        <v>54</v>
      </c>
      <c r="P417" s="134" t="str">
        <f>IF(AND('331-CT'!$E$7=TH!H417,OR(N417="331",O417="331")),"x","")</f>
        <v/>
      </c>
    </row>
    <row r="418" spans="1:16" s="109" customFormat="1" ht="18" hidden="1" customHeigh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122"/>
      <c r="J418" s="122"/>
      <c r="K418" s="122"/>
      <c r="L418" s="122"/>
      <c r="M418" s="74">
        <v>24310897</v>
      </c>
      <c r="N418" s="75" t="s">
        <v>239</v>
      </c>
      <c r="O418" s="75" t="s">
        <v>54</v>
      </c>
      <c r="P418" s="134" t="str">
        <f>IF(AND('331-CT'!$E$7=TH!H418,OR(N418="331",O418="331")),"x","")</f>
        <v/>
      </c>
    </row>
    <row r="419" spans="1:16" s="109" customFormat="1" ht="18" hidden="1" customHeigh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122"/>
      <c r="J419" s="122"/>
      <c r="K419" s="122"/>
      <c r="L419" s="122"/>
      <c r="M419" s="74">
        <v>10299815</v>
      </c>
      <c r="N419" s="75" t="s">
        <v>239</v>
      </c>
      <c r="O419" s="75" t="s">
        <v>54</v>
      </c>
      <c r="P419" s="134" t="str">
        <f>IF(AND('331-CT'!$E$7=TH!H419,OR(N419="331",O419="331")),"x","")</f>
        <v/>
      </c>
    </row>
    <row r="420" spans="1:16" s="109" customFormat="1" ht="18" hidden="1" customHeigh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122"/>
      <c r="J420" s="122"/>
      <c r="K420" s="122"/>
      <c r="L420" s="122"/>
      <c r="M420" s="74">
        <v>58551</v>
      </c>
      <c r="N420" s="75" t="s">
        <v>54</v>
      </c>
      <c r="O420" s="75" t="s">
        <v>99</v>
      </c>
      <c r="P420" s="134" t="str">
        <f>IF(AND('331-CT'!$E$7=TH!H420,OR(N420="331",O420="331")),"x","")</f>
        <v/>
      </c>
    </row>
    <row r="421" spans="1:16" s="109" customFormat="1" ht="18" hidden="1" customHeigh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122"/>
      <c r="J421" s="122"/>
      <c r="K421" s="122"/>
      <c r="L421" s="122"/>
      <c r="M421" s="74">
        <v>1500000000</v>
      </c>
      <c r="N421" s="75" t="s">
        <v>54</v>
      </c>
      <c r="O421" s="75" t="s">
        <v>227</v>
      </c>
      <c r="P421" s="134" t="str">
        <f>IF(AND('331-CT'!$E$7=TH!H421,OR(N421="331",O421="331")),"x","")</f>
        <v/>
      </c>
    </row>
    <row r="422" spans="1:16" s="109" customFormat="1" ht="18" hidden="1" customHeigh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122"/>
      <c r="J422" s="122"/>
      <c r="K422" s="122"/>
      <c r="L422" s="122"/>
      <c r="M422" s="74">
        <v>600000000</v>
      </c>
      <c r="N422" s="75" t="s">
        <v>18</v>
      </c>
      <c r="O422" s="75" t="s">
        <v>54</v>
      </c>
      <c r="P422" s="134" t="str">
        <f>IF(AND('331-CT'!$E$7=TH!H422,OR(N422="331",O422="331")),"x","")</f>
        <v/>
      </c>
    </row>
    <row r="423" spans="1:16" s="109" customFormat="1" ht="18" hidden="1" customHeigh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122"/>
      <c r="J423" s="122"/>
      <c r="K423" s="122"/>
      <c r="L423" s="122"/>
      <c r="M423" s="74">
        <v>180000</v>
      </c>
      <c r="N423" s="75" t="s">
        <v>241</v>
      </c>
      <c r="O423" s="75" t="s">
        <v>54</v>
      </c>
      <c r="P423" s="134" t="str">
        <f>IF(AND('331-CT'!$E$7=TH!H423,OR(N423="331",O423="331")),"x","")</f>
        <v/>
      </c>
    </row>
    <row r="424" spans="1:16" s="109" customFormat="1" ht="18" hidden="1" customHeigh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122"/>
      <c r="J424" s="122"/>
      <c r="K424" s="122"/>
      <c r="L424" s="122"/>
      <c r="M424" s="74">
        <v>18000</v>
      </c>
      <c r="N424" s="75" t="s">
        <v>19</v>
      </c>
      <c r="O424" s="75" t="s">
        <v>54</v>
      </c>
      <c r="P424" s="134" t="str">
        <f>IF(AND('331-CT'!$E$7=TH!H424,OR(N424="331",O424="331")),"x","")</f>
        <v/>
      </c>
    </row>
    <row r="425" spans="1:16" s="109" customFormat="1" ht="18" hidden="1" customHeigh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122"/>
      <c r="J425" s="122"/>
      <c r="K425" s="122"/>
      <c r="L425" s="122"/>
      <c r="M425" s="74">
        <v>50000000</v>
      </c>
      <c r="N425" s="78" t="s">
        <v>18</v>
      </c>
      <c r="O425" s="75" t="s">
        <v>54</v>
      </c>
      <c r="P425" s="134" t="str">
        <f>IF(AND('331-CT'!$E$7=TH!H425,OR(N425="331",O425="331")),"x","")</f>
        <v/>
      </c>
    </row>
    <row r="426" spans="1:16" s="109" customFormat="1" ht="18" hidden="1" customHeigh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122"/>
      <c r="J426" s="122"/>
      <c r="K426" s="122"/>
      <c r="L426" s="122"/>
      <c r="M426" s="74">
        <v>20000</v>
      </c>
      <c r="N426" s="75" t="s">
        <v>241</v>
      </c>
      <c r="O426" s="75" t="s">
        <v>54</v>
      </c>
      <c r="P426" s="134" t="str">
        <f>IF(AND('331-CT'!$E$7=TH!H426,OR(N426="331",O426="331")),"x","")</f>
        <v/>
      </c>
    </row>
    <row r="427" spans="1:16" s="109" customFormat="1" ht="18" hidden="1" customHeigh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122"/>
      <c r="J427" s="122"/>
      <c r="K427" s="122"/>
      <c r="L427" s="122"/>
      <c r="M427" s="74">
        <v>2000</v>
      </c>
      <c r="N427" s="75" t="s">
        <v>19</v>
      </c>
      <c r="O427" s="75" t="s">
        <v>54</v>
      </c>
      <c r="P427" s="134" t="str">
        <f>IF(AND('331-CT'!$E$7=TH!H427,OR(N427="331",O427="331")),"x","")</f>
        <v/>
      </c>
    </row>
    <row r="428" spans="1:16" s="109" customFormat="1" ht="18" hidden="1" customHeigh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122"/>
      <c r="J428" s="122"/>
      <c r="K428" s="122"/>
      <c r="L428" s="122"/>
      <c r="M428" s="74">
        <v>700000000</v>
      </c>
      <c r="N428" s="78" t="s">
        <v>18</v>
      </c>
      <c r="O428" s="75" t="s">
        <v>54</v>
      </c>
      <c r="P428" s="134" t="str">
        <f>IF(AND('331-CT'!$E$7=TH!H428,OR(N428="331",O428="331")),"x","")</f>
        <v/>
      </c>
    </row>
    <row r="429" spans="1:16" s="109" customFormat="1" ht="18" hidden="1" customHeigh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122"/>
      <c r="J429" s="122"/>
      <c r="K429" s="122"/>
      <c r="L429" s="122"/>
      <c r="M429" s="74">
        <v>350000</v>
      </c>
      <c r="N429" s="75" t="s">
        <v>241</v>
      </c>
      <c r="O429" s="75" t="s">
        <v>54</v>
      </c>
      <c r="P429" s="134" t="str">
        <f>IF(AND('331-CT'!$E$7=TH!H429,OR(N429="331",O429="331")),"x","")</f>
        <v/>
      </c>
    </row>
    <row r="430" spans="1:16" s="109" customFormat="1" ht="18" hidden="1" customHeigh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122"/>
      <c r="J430" s="122"/>
      <c r="K430" s="122"/>
      <c r="L430" s="122"/>
      <c r="M430" s="74">
        <v>35000</v>
      </c>
      <c r="N430" s="75" t="s">
        <v>19</v>
      </c>
      <c r="O430" s="75" t="s">
        <v>54</v>
      </c>
      <c r="P430" s="134" t="str">
        <f>IF(AND('331-CT'!$E$7=TH!H430,OR(N430="331",O430="331")),"x","")</f>
        <v/>
      </c>
    </row>
    <row r="431" spans="1:16" s="109" customFormat="1" ht="18" hidden="1" customHeigh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122"/>
      <c r="J431" s="122"/>
      <c r="K431" s="122"/>
      <c r="L431" s="122"/>
      <c r="M431" s="74">
        <v>45256</v>
      </c>
      <c r="N431" s="75" t="s">
        <v>54</v>
      </c>
      <c r="O431" s="75" t="s">
        <v>99</v>
      </c>
      <c r="P431" s="134" t="str">
        <f>IF(AND('331-CT'!$E$7=TH!H431,OR(N431="331",O431="331")),"x","")</f>
        <v/>
      </c>
    </row>
    <row r="432" spans="1:16" s="109" customFormat="1" ht="18" hidden="1" customHeigh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120"/>
      <c r="J432" s="120"/>
      <c r="K432" s="120"/>
      <c r="L432" s="120"/>
      <c r="M432" s="74">
        <v>60000000</v>
      </c>
      <c r="N432" s="75" t="s">
        <v>39</v>
      </c>
      <c r="O432" s="75" t="s">
        <v>203</v>
      </c>
      <c r="P432" s="134" t="str">
        <f>IF(AND('331-CT'!$E$7=TH!H432,OR(N432="331",O432="331")),"x","")</f>
        <v/>
      </c>
    </row>
    <row r="433" spans="1:16" s="109" customFormat="1" ht="18" hidden="1" customHeigh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120"/>
      <c r="J433" s="120"/>
      <c r="K433" s="120"/>
      <c r="L433" s="120"/>
      <c r="M433" s="74">
        <v>60000000</v>
      </c>
      <c r="N433" s="75" t="s">
        <v>54</v>
      </c>
      <c r="O433" s="75" t="s">
        <v>39</v>
      </c>
      <c r="P433" s="134" t="str">
        <f>IF(AND('331-CT'!$E$7=TH!H433,OR(N433="331",O433="331")),"x","")</f>
        <v/>
      </c>
    </row>
    <row r="434" spans="1:16" s="109" customFormat="1" ht="18" hidden="1" customHeigh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122"/>
      <c r="J434" s="122"/>
      <c r="K434" s="122"/>
      <c r="L434" s="122"/>
      <c r="M434" s="74">
        <v>8190270</v>
      </c>
      <c r="N434" s="75" t="s">
        <v>239</v>
      </c>
      <c r="O434" s="75" t="s">
        <v>54</v>
      </c>
      <c r="P434" s="134" t="str">
        <f>IF(AND('331-CT'!$E$7=TH!H434,OR(N434="331",O434="331")),"x","")</f>
        <v/>
      </c>
    </row>
    <row r="435" spans="1:16" s="109" customFormat="1" ht="18" hidden="1" customHeigh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122"/>
      <c r="J435" s="122"/>
      <c r="K435" s="122"/>
      <c r="L435" s="122"/>
      <c r="M435" s="74">
        <v>16380540</v>
      </c>
      <c r="N435" s="75" t="s">
        <v>239</v>
      </c>
      <c r="O435" s="75" t="s">
        <v>54</v>
      </c>
      <c r="P435" s="134" t="str">
        <f>IF(AND('331-CT'!$E$7=TH!H435,OR(N435="331",O435="331")),"x","")</f>
        <v/>
      </c>
    </row>
    <row r="436" spans="1:16" s="109" customFormat="1" ht="18" hidden="1" customHeigh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122"/>
      <c r="J436" s="122"/>
      <c r="K436" s="122"/>
      <c r="L436" s="122"/>
      <c r="M436" s="74">
        <v>13104432</v>
      </c>
      <c r="N436" s="75" t="s">
        <v>239</v>
      </c>
      <c r="O436" s="75" t="s">
        <v>54</v>
      </c>
      <c r="P436" s="134" t="str">
        <f>IF(AND('331-CT'!$E$7=TH!H436,OR(N436="331",O436="331")),"x","")</f>
        <v/>
      </c>
    </row>
    <row r="437" spans="1:16" s="109" customFormat="1" ht="18" hidden="1" customHeigh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122"/>
      <c r="J437" s="122"/>
      <c r="K437" s="122"/>
      <c r="L437" s="122"/>
      <c r="M437" s="74">
        <v>12285405</v>
      </c>
      <c r="N437" s="75" t="s">
        <v>239</v>
      </c>
      <c r="O437" s="75" t="s">
        <v>54</v>
      </c>
      <c r="P437" s="134" t="str">
        <f>IF(AND('331-CT'!$E$7=TH!H437,OR(N437="331",O437="331")),"x","")</f>
        <v/>
      </c>
    </row>
    <row r="438" spans="1:16" s="109" customFormat="1" ht="18" hidden="1" customHeigh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122"/>
      <c r="J438" s="122"/>
      <c r="K438" s="122"/>
      <c r="L438" s="122"/>
      <c r="M438" s="74">
        <v>8190270</v>
      </c>
      <c r="N438" s="75" t="s">
        <v>239</v>
      </c>
      <c r="O438" s="75" t="s">
        <v>54</v>
      </c>
      <c r="P438" s="134" t="str">
        <f>IF(AND('331-CT'!$E$7=TH!H438,OR(N438="331",O438="331")),"x","")</f>
        <v/>
      </c>
    </row>
    <row r="439" spans="1:16" s="109" customFormat="1" ht="18" hidden="1" customHeigh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120"/>
      <c r="J439" s="120"/>
      <c r="K439" s="120"/>
      <c r="L439" s="120"/>
      <c r="M439" s="74">
        <v>72000000</v>
      </c>
      <c r="N439" s="75" t="s">
        <v>39</v>
      </c>
      <c r="O439" s="75" t="s">
        <v>203</v>
      </c>
      <c r="P439" s="134" t="str">
        <f>IF(AND('331-CT'!$E$7=TH!H439,OR(N439="331",O439="331")),"x","")</f>
        <v/>
      </c>
    </row>
    <row r="440" spans="1:16" s="109" customFormat="1" ht="18" hidden="1" customHeigh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120"/>
      <c r="J440" s="120"/>
      <c r="K440" s="120"/>
      <c r="L440" s="120"/>
      <c r="M440" s="74">
        <v>72000000</v>
      </c>
      <c r="N440" s="75" t="s">
        <v>54</v>
      </c>
      <c r="O440" s="75" t="s">
        <v>39</v>
      </c>
      <c r="P440" s="134" t="str">
        <f>IF(AND('331-CT'!$E$7=TH!H440,OR(N440="331",O440="331")),"x","")</f>
        <v/>
      </c>
    </row>
    <row r="441" spans="1:16" s="109" customFormat="1" ht="18" hidden="1" customHeigh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122"/>
      <c r="J441" s="122"/>
      <c r="K441" s="122"/>
      <c r="L441" s="122"/>
      <c r="M441" s="74">
        <v>7400588</v>
      </c>
      <c r="N441" s="75" t="s">
        <v>239</v>
      </c>
      <c r="O441" s="75" t="s">
        <v>54</v>
      </c>
      <c r="P441" s="134" t="str">
        <f>IF(AND('331-CT'!$E$7=TH!H441,OR(N441="331",O441="331")),"x","")</f>
        <v/>
      </c>
    </row>
    <row r="442" spans="1:16" s="109" customFormat="1" ht="18" hidden="1" customHeigh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122"/>
      <c r="J442" s="122"/>
      <c r="K442" s="122"/>
      <c r="L442" s="122"/>
      <c r="M442" s="74">
        <v>14801176</v>
      </c>
      <c r="N442" s="75" t="s">
        <v>239</v>
      </c>
      <c r="O442" s="75" t="s">
        <v>54</v>
      </c>
      <c r="P442" s="134" t="str">
        <f>IF(AND('331-CT'!$E$7=TH!H442,OR(N442="331",O442="331")),"x","")</f>
        <v/>
      </c>
    </row>
    <row r="443" spans="1:16" s="109" customFormat="1" ht="18" hidden="1" customHeigh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122"/>
      <c r="J443" s="122"/>
      <c r="K443" s="122"/>
      <c r="L443" s="122"/>
      <c r="M443" s="74">
        <v>11840941</v>
      </c>
      <c r="N443" s="75" t="s">
        <v>239</v>
      </c>
      <c r="O443" s="75" t="s">
        <v>54</v>
      </c>
      <c r="P443" s="134" t="str">
        <f>IF(AND('331-CT'!$E$7=TH!H443,OR(N443="331",O443="331")),"x","")</f>
        <v/>
      </c>
    </row>
    <row r="444" spans="1:16" s="109" customFormat="1" ht="18" hidden="1" customHeigh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122"/>
      <c r="J444" s="122"/>
      <c r="K444" s="122"/>
      <c r="L444" s="122"/>
      <c r="M444" s="74">
        <v>11100882</v>
      </c>
      <c r="N444" s="75" t="s">
        <v>239</v>
      </c>
      <c r="O444" s="75" t="s">
        <v>54</v>
      </c>
      <c r="P444" s="134" t="str">
        <f>IF(AND('331-CT'!$E$7=TH!H444,OR(N444="331",O444="331")),"x","")</f>
        <v/>
      </c>
    </row>
    <row r="445" spans="1:16" s="109" customFormat="1" ht="18" hidden="1" customHeigh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122"/>
      <c r="J445" s="122"/>
      <c r="K445" s="122"/>
      <c r="L445" s="122"/>
      <c r="M445" s="74">
        <v>7400588</v>
      </c>
      <c r="N445" s="75" t="s">
        <v>239</v>
      </c>
      <c r="O445" s="75" t="s">
        <v>54</v>
      </c>
      <c r="P445" s="134" t="str">
        <f>IF(AND('331-CT'!$E$7=TH!H445,OR(N445="331",O445="331")),"x","")</f>
        <v/>
      </c>
    </row>
    <row r="446" spans="1:16" s="109" customFormat="1" ht="18" hidden="1" customHeigh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122"/>
      <c r="J446" s="122"/>
      <c r="K446" s="122"/>
      <c r="L446" s="122"/>
      <c r="M446" s="74">
        <v>19426543</v>
      </c>
      <c r="N446" s="75" t="s">
        <v>239</v>
      </c>
      <c r="O446" s="75" t="s">
        <v>54</v>
      </c>
      <c r="P446" s="134" t="str">
        <f>IF(AND('331-CT'!$E$7=TH!H446,OR(N446="331",O446="331")),"x","")</f>
        <v/>
      </c>
    </row>
    <row r="447" spans="1:16" s="109" customFormat="1" ht="18" hidden="1" customHeigh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122"/>
      <c r="J447" s="122"/>
      <c r="K447" s="122"/>
      <c r="L447" s="122"/>
      <c r="M447" s="74">
        <v>50000</v>
      </c>
      <c r="N447" s="75" t="s">
        <v>241</v>
      </c>
      <c r="O447" s="75" t="s">
        <v>54</v>
      </c>
      <c r="P447" s="134" t="str">
        <f>IF(AND('331-CT'!$E$7=TH!H447,OR(N447="331",O447="331")),"x","")</f>
        <v/>
      </c>
    </row>
    <row r="448" spans="1:16" s="109" customFormat="1" ht="18" hidden="1" customHeigh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122"/>
      <c r="J448" s="122"/>
      <c r="K448" s="122"/>
      <c r="L448" s="122"/>
      <c r="M448" s="74">
        <v>5000</v>
      </c>
      <c r="N448" s="75" t="s">
        <v>19</v>
      </c>
      <c r="O448" s="75" t="s">
        <v>54</v>
      </c>
      <c r="P448" s="134" t="str">
        <f>IF(AND('331-CT'!$E$7=TH!H448,OR(N448="331",O448="331")),"x","")</f>
        <v/>
      </c>
    </row>
    <row r="449" spans="1:16" s="109" customFormat="1" ht="18" hidden="1" customHeigh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122"/>
      <c r="J449" s="122"/>
      <c r="K449" s="122"/>
      <c r="L449" s="122"/>
      <c r="M449" s="74">
        <v>50000</v>
      </c>
      <c r="N449" s="75" t="s">
        <v>241</v>
      </c>
      <c r="O449" s="75" t="s">
        <v>54</v>
      </c>
      <c r="P449" s="134" t="str">
        <f>IF(AND('331-CT'!$E$7=TH!H449,OR(N449="331",O449="331")),"x","")</f>
        <v/>
      </c>
    </row>
    <row r="450" spans="1:16" s="109" customFormat="1" ht="18" hidden="1" customHeigh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122"/>
      <c r="J450" s="122"/>
      <c r="K450" s="122"/>
      <c r="L450" s="122"/>
      <c r="M450" s="74">
        <v>5000</v>
      </c>
      <c r="N450" s="75" t="s">
        <v>19</v>
      </c>
      <c r="O450" s="75" t="s">
        <v>54</v>
      </c>
      <c r="P450" s="134" t="str">
        <f>IF(AND('331-CT'!$E$7=TH!H450,OR(N450="331",O450="331")),"x","")</f>
        <v/>
      </c>
    </row>
    <row r="451" spans="1:16" s="109" customFormat="1" ht="18" hidden="1" customHeigh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122"/>
      <c r="J451" s="122"/>
      <c r="K451" s="122"/>
      <c r="L451" s="122"/>
      <c r="M451" s="74">
        <v>35634</v>
      </c>
      <c r="N451" s="75" t="s">
        <v>54</v>
      </c>
      <c r="O451" s="75" t="s">
        <v>99</v>
      </c>
      <c r="P451" s="134" t="str">
        <f>IF(AND('331-CT'!$E$7=TH!H451,OR(N451="331",O451="331")),"x","")</f>
        <v/>
      </c>
    </row>
    <row r="452" spans="1:16" s="109" customFormat="1" ht="18" hidden="1" customHeigh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122"/>
      <c r="J452" s="122"/>
      <c r="K452" s="122"/>
      <c r="L452" s="122"/>
      <c r="M452" s="74">
        <v>2000000000</v>
      </c>
      <c r="N452" s="75" t="s">
        <v>54</v>
      </c>
      <c r="O452" s="75" t="s">
        <v>227</v>
      </c>
      <c r="P452" s="134" t="str">
        <f>IF(AND('331-CT'!$E$7=TH!H452,OR(N452="331",O452="331")),"x","")</f>
        <v/>
      </c>
    </row>
    <row r="453" spans="1:16" s="109" customFormat="1" ht="18" hidden="1" customHeigh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122"/>
      <c r="J453" s="122"/>
      <c r="K453" s="122"/>
      <c r="L453" s="122"/>
      <c r="M453" s="74">
        <v>600000000</v>
      </c>
      <c r="N453" s="77" t="s">
        <v>18</v>
      </c>
      <c r="O453" s="75" t="s">
        <v>54</v>
      </c>
      <c r="P453" s="134" t="str">
        <f>IF(AND('331-CT'!$E$7=TH!H453,OR(N453="331",O453="331")),"x","")</f>
        <v/>
      </c>
    </row>
    <row r="454" spans="1:16" s="109" customFormat="1" ht="18" hidden="1" customHeigh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122"/>
      <c r="J454" s="122"/>
      <c r="K454" s="122"/>
      <c r="L454" s="122"/>
      <c r="M454" s="74">
        <v>180000</v>
      </c>
      <c r="N454" s="75" t="s">
        <v>241</v>
      </c>
      <c r="O454" s="75" t="s">
        <v>54</v>
      </c>
      <c r="P454" s="134" t="str">
        <f>IF(AND('331-CT'!$E$7=TH!H454,OR(N454="331",O454="331")),"x","")</f>
        <v/>
      </c>
    </row>
    <row r="455" spans="1:16" s="109" customFormat="1" ht="18" hidden="1" customHeigh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122"/>
      <c r="J455" s="122"/>
      <c r="K455" s="122"/>
      <c r="L455" s="122"/>
      <c r="M455" s="74">
        <v>18000</v>
      </c>
      <c r="N455" s="75" t="s">
        <v>19</v>
      </c>
      <c r="O455" s="75" t="s">
        <v>54</v>
      </c>
      <c r="P455" s="134" t="str">
        <f>IF(AND('331-CT'!$E$7=TH!H455,OR(N455="331",O455="331")),"x","")</f>
        <v/>
      </c>
    </row>
    <row r="456" spans="1:16" s="109" customFormat="1" ht="18" hidden="1" customHeigh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122"/>
      <c r="J456" s="122"/>
      <c r="K456" s="122"/>
      <c r="L456" s="122"/>
      <c r="M456" s="74">
        <v>360000000</v>
      </c>
      <c r="N456" s="77" t="s">
        <v>18</v>
      </c>
      <c r="O456" s="75" t="s">
        <v>54</v>
      </c>
      <c r="P456" s="134" t="str">
        <f>IF(AND('331-CT'!$E$7=TH!H456,OR(N456="331",O456="331")),"x","")</f>
        <v/>
      </c>
    </row>
    <row r="457" spans="1:16" s="109" customFormat="1" ht="18" hidden="1" customHeigh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122"/>
      <c r="J457" s="122"/>
      <c r="K457" s="122"/>
      <c r="L457" s="122"/>
      <c r="M457" s="74">
        <v>251000000</v>
      </c>
      <c r="N457" s="77" t="s">
        <v>18</v>
      </c>
      <c r="O457" s="75" t="s">
        <v>54</v>
      </c>
      <c r="P457" s="134" t="str">
        <f>IF(AND('331-CT'!$E$7=TH!H457,OR(N457="331",O457="331")),"x","")</f>
        <v/>
      </c>
    </row>
    <row r="458" spans="1:16" s="109" customFormat="1" ht="18" hidden="1" customHeigh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122"/>
      <c r="J458" s="122"/>
      <c r="K458" s="122"/>
      <c r="L458" s="122"/>
      <c r="M458" s="74">
        <v>75300</v>
      </c>
      <c r="N458" s="75" t="s">
        <v>241</v>
      </c>
      <c r="O458" s="75" t="s">
        <v>54</v>
      </c>
      <c r="P458" s="134" t="str">
        <f>IF(AND('331-CT'!$E$7=TH!H458,OR(N458="331",O458="331")),"x","")</f>
        <v/>
      </c>
    </row>
    <row r="459" spans="1:16" s="109" customFormat="1" ht="18" hidden="1" customHeigh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122"/>
      <c r="J459" s="122"/>
      <c r="K459" s="122"/>
      <c r="L459" s="122"/>
      <c r="M459" s="74">
        <v>7530</v>
      </c>
      <c r="N459" s="75" t="s">
        <v>19</v>
      </c>
      <c r="O459" s="75" t="s">
        <v>54</v>
      </c>
      <c r="P459" s="134" t="str">
        <f>IF(AND('331-CT'!$E$7=TH!H459,OR(N459="331",O459="331")),"x","")</f>
        <v/>
      </c>
    </row>
    <row r="460" spans="1:16" s="109" customFormat="1" ht="18" hidden="1" customHeigh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122"/>
      <c r="J460" s="122"/>
      <c r="K460" s="122"/>
      <c r="L460" s="122"/>
      <c r="M460" s="74">
        <v>17290000</v>
      </c>
      <c r="N460" s="75" t="s">
        <v>654</v>
      </c>
      <c r="O460" s="75" t="s">
        <v>203</v>
      </c>
      <c r="P460" s="134" t="str">
        <f>IF(AND('331-CT'!$E$7=TH!H460,OR(N460="331",O460="331")),"x","")</f>
        <v/>
      </c>
    </row>
    <row r="461" spans="1:16" s="109" customFormat="1" ht="18" hidden="1" customHeigh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122"/>
      <c r="J461" s="122"/>
      <c r="K461" s="122"/>
      <c r="L461" s="122"/>
      <c r="M461" s="74">
        <v>1729000</v>
      </c>
      <c r="N461" s="75" t="s">
        <v>19</v>
      </c>
      <c r="O461" s="75" t="s">
        <v>203</v>
      </c>
      <c r="P461" s="134" t="str">
        <f>IF(AND('331-CT'!$E$7=TH!H461,OR(N461="331",O461="331")),"x","")</f>
        <v/>
      </c>
    </row>
    <row r="462" spans="1:16" s="109" customFormat="1" ht="18" hidden="1" customHeigh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122"/>
      <c r="J462" s="122"/>
      <c r="K462" s="122"/>
      <c r="L462" s="122"/>
      <c r="M462" s="74">
        <v>500000000</v>
      </c>
      <c r="N462" s="77" t="s">
        <v>18</v>
      </c>
      <c r="O462" s="75" t="s">
        <v>54</v>
      </c>
      <c r="P462" s="134" t="str">
        <f>IF(AND('331-CT'!$E$7=TH!H462,OR(N462="331",O462="331")),"x","")</f>
        <v/>
      </c>
    </row>
    <row r="463" spans="1:16" s="109" customFormat="1" ht="18" hidden="1" customHeigh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122"/>
      <c r="J463" s="122"/>
      <c r="K463" s="122"/>
      <c r="L463" s="122"/>
      <c r="M463" s="74">
        <v>250000</v>
      </c>
      <c r="N463" s="75" t="s">
        <v>241</v>
      </c>
      <c r="O463" s="75" t="s">
        <v>54</v>
      </c>
      <c r="P463" s="134" t="str">
        <f>IF(AND('331-CT'!$E$7=TH!H463,OR(N463="331",O463="331")),"x","")</f>
        <v/>
      </c>
    </row>
    <row r="464" spans="1:16" s="109" customFormat="1" ht="18" hidden="1" customHeigh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122"/>
      <c r="J464" s="122"/>
      <c r="K464" s="122"/>
      <c r="L464" s="122"/>
      <c r="M464" s="74">
        <v>25000</v>
      </c>
      <c r="N464" s="75" t="s">
        <v>19</v>
      </c>
      <c r="O464" s="75" t="s">
        <v>54</v>
      </c>
      <c r="P464" s="134" t="str">
        <f>IF(AND('331-CT'!$E$7=TH!H464,OR(N464="331",O464="331")),"x","")</f>
        <v/>
      </c>
    </row>
    <row r="465" spans="1:16" s="109" customFormat="1" ht="18" hidden="1" customHeigh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122"/>
      <c r="J465" s="122"/>
      <c r="K465" s="122"/>
      <c r="L465" s="122"/>
      <c r="M465" s="74">
        <v>8170000</v>
      </c>
      <c r="N465" s="75" t="s">
        <v>654</v>
      </c>
      <c r="O465" s="75" t="s">
        <v>203</v>
      </c>
      <c r="P465" s="134" t="str">
        <f>IF(AND('331-CT'!$E$7=TH!H465,OR(N465="331",O465="331")),"x","")</f>
        <v/>
      </c>
    </row>
    <row r="466" spans="1:16" s="109" customFormat="1" ht="18" hidden="1" customHeigh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122"/>
      <c r="J466" s="122"/>
      <c r="K466" s="122"/>
      <c r="L466" s="122"/>
      <c r="M466" s="74">
        <v>817000</v>
      </c>
      <c r="N466" s="75" t="s">
        <v>19</v>
      </c>
      <c r="O466" s="75" t="s">
        <v>203</v>
      </c>
      <c r="P466" s="134" t="str">
        <f>IF(AND('331-CT'!$E$7=TH!H466,OR(N466="331",O466="331")),"x","")</f>
        <v/>
      </c>
    </row>
    <row r="467" spans="1:16" s="109" customFormat="1" ht="18" hidden="1" customHeigh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122"/>
      <c r="J467" s="122"/>
      <c r="K467" s="122"/>
      <c r="L467" s="122"/>
      <c r="M467" s="74">
        <v>17726430</v>
      </c>
      <c r="N467" s="75" t="s">
        <v>654</v>
      </c>
      <c r="O467" s="75" t="s">
        <v>203</v>
      </c>
      <c r="P467" s="134" t="str">
        <f>IF(AND('331-CT'!$E$7=TH!H467,OR(N467="331",O467="331")),"x","")</f>
        <v/>
      </c>
    </row>
    <row r="468" spans="1:16" s="109" customFormat="1" ht="18" hidden="1" customHeigh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122"/>
      <c r="J468" s="122"/>
      <c r="K468" s="122"/>
      <c r="L468" s="122"/>
      <c r="M468" s="74">
        <v>1772643</v>
      </c>
      <c r="N468" s="75" t="s">
        <v>19</v>
      </c>
      <c r="O468" s="75" t="s">
        <v>203</v>
      </c>
      <c r="P468" s="134" t="str">
        <f>IF(AND('331-CT'!$E$7=TH!H468,OR(N468="331",O468="331")),"x","")</f>
        <v/>
      </c>
    </row>
    <row r="469" spans="1:16" s="109" customFormat="1" ht="18" hidden="1" customHeigh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122"/>
      <c r="J469" s="122"/>
      <c r="K469" s="122"/>
      <c r="L469" s="122"/>
      <c r="M469" s="74">
        <v>195195000</v>
      </c>
      <c r="N469" s="77" t="s">
        <v>18</v>
      </c>
      <c r="O469" s="75" t="s">
        <v>54</v>
      </c>
      <c r="P469" s="134" t="str">
        <f>IF(AND('331-CT'!$E$7=TH!H469,OR(N469="331",O469="331")),"x","")</f>
        <v/>
      </c>
    </row>
    <row r="470" spans="1:16" s="109" customFormat="1" ht="18" hidden="1" customHeigh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122"/>
      <c r="J470" s="122"/>
      <c r="K470" s="122"/>
      <c r="L470" s="122"/>
      <c r="M470" s="74">
        <v>58559</v>
      </c>
      <c r="N470" s="75" t="s">
        <v>241</v>
      </c>
      <c r="O470" s="75" t="s">
        <v>54</v>
      </c>
      <c r="P470" s="134" t="str">
        <f>IF(AND('331-CT'!$E$7=TH!H470,OR(N470="331",O470="331")),"x","")</f>
        <v/>
      </c>
    </row>
    <row r="471" spans="1:16" s="109" customFormat="1" ht="18" hidden="1" customHeigh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122"/>
      <c r="J471" s="122"/>
      <c r="K471" s="122"/>
      <c r="L471" s="122"/>
      <c r="M471" s="74">
        <v>5856</v>
      </c>
      <c r="N471" s="75" t="s">
        <v>19</v>
      </c>
      <c r="O471" s="75" t="s">
        <v>54</v>
      </c>
      <c r="P471" s="134" t="str">
        <f>IF(AND('331-CT'!$E$7=TH!H471,OR(N471="331",O471="331")),"x","")</f>
        <v/>
      </c>
    </row>
    <row r="472" spans="1:16" s="109" customFormat="1" ht="18" hidden="1" customHeigh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122"/>
      <c r="J472" s="122"/>
      <c r="K472" s="122"/>
      <c r="L472" s="122"/>
      <c r="M472" s="74">
        <v>17424628</v>
      </c>
      <c r="N472" s="75" t="s">
        <v>654</v>
      </c>
      <c r="O472" s="75" t="s">
        <v>203</v>
      </c>
      <c r="P472" s="134" t="str">
        <f>IF(AND('331-CT'!$E$7=TH!H472,OR(N472="331",O472="331")),"x","")</f>
        <v/>
      </c>
    </row>
    <row r="473" spans="1:16" s="109" customFormat="1" ht="18" hidden="1" customHeigh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122"/>
      <c r="J473" s="122"/>
      <c r="K473" s="122"/>
      <c r="L473" s="122"/>
      <c r="M473" s="74">
        <v>1742463</v>
      </c>
      <c r="N473" s="75" t="s">
        <v>19</v>
      </c>
      <c r="O473" s="75" t="s">
        <v>203</v>
      </c>
      <c r="P473" s="134" t="str">
        <f>IF(AND('331-CT'!$E$7=TH!H473,OR(N473="331",O473="331")),"x","")</f>
        <v/>
      </c>
    </row>
    <row r="474" spans="1:16" s="109" customFormat="1" ht="18" hidden="1" customHeigh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122"/>
      <c r="J474" s="122"/>
      <c r="K474" s="122"/>
      <c r="L474" s="122"/>
      <c r="M474" s="74">
        <v>8180556</v>
      </c>
      <c r="N474" s="75" t="s">
        <v>239</v>
      </c>
      <c r="O474" s="75" t="s">
        <v>54</v>
      </c>
      <c r="P474" s="134" t="str">
        <f>IF(AND('331-CT'!$E$7=TH!H474,OR(N474="331",O474="331")),"x","")</f>
        <v/>
      </c>
    </row>
    <row r="475" spans="1:16" s="135" customFormat="1" ht="18" hidden="1" customHeigh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122"/>
      <c r="J475" s="122"/>
      <c r="K475" s="122"/>
      <c r="L475" s="122"/>
      <c r="M475" s="74">
        <v>16361111</v>
      </c>
      <c r="N475" s="75" t="s">
        <v>239</v>
      </c>
      <c r="O475" s="75" t="s">
        <v>54</v>
      </c>
      <c r="P475" s="134" t="str">
        <f>IF(AND('331-CT'!$E$7=TH!H475,OR(N475="331",O475="331")),"x","")</f>
        <v/>
      </c>
    </row>
    <row r="476" spans="1:16" s="135" customFormat="1" ht="18" hidden="1" customHeigh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122"/>
      <c r="J476" s="122"/>
      <c r="K476" s="122"/>
      <c r="L476" s="122"/>
      <c r="M476" s="74">
        <v>13088889</v>
      </c>
      <c r="N476" s="75" t="s">
        <v>239</v>
      </c>
      <c r="O476" s="75" t="s">
        <v>54</v>
      </c>
      <c r="P476" s="134" t="str">
        <f>IF(AND('331-CT'!$E$7=TH!H476,OR(N476="331",O476="331")),"x","")</f>
        <v/>
      </c>
    </row>
    <row r="477" spans="1:16" s="109" customFormat="1" ht="18" hidden="1" customHeigh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122"/>
      <c r="J477" s="122"/>
      <c r="K477" s="122"/>
      <c r="L477" s="122"/>
      <c r="M477" s="74">
        <v>12270833</v>
      </c>
      <c r="N477" s="75" t="s">
        <v>239</v>
      </c>
      <c r="O477" s="75" t="s">
        <v>54</v>
      </c>
      <c r="P477" s="134" t="str">
        <f>IF(AND('331-CT'!$E$7=TH!H477,OR(N477="331",O477="331")),"x","")</f>
        <v/>
      </c>
    </row>
    <row r="478" spans="1:16" s="109" customFormat="1" ht="18" hidden="1" customHeigh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122"/>
      <c r="J478" s="122"/>
      <c r="K478" s="122"/>
      <c r="L478" s="122"/>
      <c r="M478" s="74">
        <v>8180556</v>
      </c>
      <c r="N478" s="75" t="s">
        <v>239</v>
      </c>
      <c r="O478" s="75" t="s">
        <v>54</v>
      </c>
      <c r="P478" s="134" t="str">
        <f>IF(AND('331-CT'!$E$7=TH!H478,OR(N478="331",O478="331")),"x","")</f>
        <v/>
      </c>
    </row>
    <row r="479" spans="1:16" s="109" customFormat="1" ht="18" hidden="1" customHeigh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122"/>
      <c r="J479" s="122"/>
      <c r="K479" s="122"/>
      <c r="L479" s="122"/>
      <c r="M479" s="74">
        <v>12270833</v>
      </c>
      <c r="N479" s="75" t="s">
        <v>239</v>
      </c>
      <c r="O479" s="75" t="s">
        <v>54</v>
      </c>
      <c r="P479" s="134" t="str">
        <f>IF(AND('331-CT'!$E$7=TH!H479,OR(N479="331",O479="331")),"x","")</f>
        <v/>
      </c>
    </row>
    <row r="480" spans="1:16" s="109" customFormat="1" ht="18" hidden="1" customHeigh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122"/>
      <c r="J480" s="122"/>
      <c r="K480" s="122"/>
      <c r="L480" s="122"/>
      <c r="M480" s="74">
        <v>71000000</v>
      </c>
      <c r="N480" s="78" t="s">
        <v>54</v>
      </c>
      <c r="O480" s="75" t="s">
        <v>203</v>
      </c>
      <c r="P480" s="134" t="str">
        <f>IF(AND('331-CT'!$E$7=TH!H480,OR(N480="331",O480="331")),"x","")</f>
        <v/>
      </c>
    </row>
    <row r="481" spans="1:16" s="109" customFormat="1" ht="18" hidden="1" customHeigh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122"/>
      <c r="J481" s="122"/>
      <c r="K481" s="122"/>
      <c r="L481" s="122"/>
      <c r="M481" s="74">
        <v>1400000000</v>
      </c>
      <c r="N481" s="75" t="s">
        <v>54</v>
      </c>
      <c r="O481" s="75" t="s">
        <v>227</v>
      </c>
      <c r="P481" s="134" t="str">
        <f>IF(AND('331-CT'!$E$7=TH!H481,OR(N481="331",O481="331")),"x","")</f>
        <v/>
      </c>
    </row>
    <row r="482" spans="1:16" s="109" customFormat="1" ht="18" hidden="1" customHeigh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2"/>
      <c r="J482" s="132"/>
      <c r="K482" s="132"/>
      <c r="L482" s="132"/>
      <c r="M482" s="133">
        <v>3714800</v>
      </c>
      <c r="N482" s="134" t="s">
        <v>241</v>
      </c>
      <c r="O482" s="134" t="s">
        <v>203</v>
      </c>
      <c r="P482" s="134" t="str">
        <f>IF(AND('331-CT'!$E$7=TH!H482,OR(N482="331",O482="331")),"x","")</f>
        <v/>
      </c>
    </row>
    <row r="483" spans="1:16" s="109" customFormat="1" ht="18" hidden="1" customHeigh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2"/>
      <c r="J483" s="132"/>
      <c r="K483" s="132"/>
      <c r="L483" s="132"/>
      <c r="M483" s="133">
        <v>185740</v>
      </c>
      <c r="N483" s="134" t="s">
        <v>19</v>
      </c>
      <c r="O483" s="134" t="s">
        <v>203</v>
      </c>
      <c r="P483" s="134" t="str">
        <f>IF(AND('331-CT'!$E$7=TH!H483,OR(N483="331",O483="331")),"x","")</f>
        <v/>
      </c>
    </row>
    <row r="484" spans="1:16" s="109" customFormat="1" ht="18" hidden="1" customHeigh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122"/>
      <c r="J484" s="122"/>
      <c r="K484" s="122"/>
      <c r="L484" s="122"/>
      <c r="M484" s="74">
        <v>500000000</v>
      </c>
      <c r="N484" s="75" t="s">
        <v>18</v>
      </c>
      <c r="O484" s="75" t="s">
        <v>54</v>
      </c>
      <c r="P484" s="134" t="str">
        <f>IF(AND('331-CT'!$E$7=TH!H484,OR(N484="331",O484="331")),"x","")</f>
        <v/>
      </c>
    </row>
    <row r="485" spans="1:16" s="109" customFormat="1" ht="18" hidden="1" customHeigh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122"/>
      <c r="J485" s="122"/>
      <c r="K485" s="122"/>
      <c r="L485" s="122"/>
      <c r="M485" s="74">
        <v>250000</v>
      </c>
      <c r="N485" s="75" t="s">
        <v>241</v>
      </c>
      <c r="O485" s="75" t="s">
        <v>54</v>
      </c>
      <c r="P485" s="134" t="str">
        <f>IF(AND('331-CT'!$E$7=TH!H485,OR(N485="331",O485="331")),"x","")</f>
        <v/>
      </c>
    </row>
    <row r="486" spans="1:16" s="109" customFormat="1" ht="18" hidden="1" customHeigh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122"/>
      <c r="J486" s="122"/>
      <c r="K486" s="122"/>
      <c r="L486" s="122"/>
      <c r="M486" s="74">
        <v>100000000</v>
      </c>
      <c r="N486" s="75" t="s">
        <v>18</v>
      </c>
      <c r="O486" s="75" t="s">
        <v>54</v>
      </c>
      <c r="P486" s="134" t="str">
        <f>IF(AND('331-CT'!$E$7=TH!H486,OR(N486="331",O486="331")),"x","")</f>
        <v/>
      </c>
    </row>
    <row r="487" spans="1:16" s="109" customFormat="1" ht="18" hidden="1" customHeigh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122"/>
      <c r="J487" s="122"/>
      <c r="K487" s="122"/>
      <c r="L487" s="122"/>
      <c r="M487" s="74">
        <v>25000</v>
      </c>
      <c r="N487" s="75" t="s">
        <v>19</v>
      </c>
      <c r="O487" s="75" t="s">
        <v>54</v>
      </c>
      <c r="P487" s="134" t="str">
        <f>IF(AND('331-CT'!$E$7=TH!H487,OR(N487="331",O487="331")),"x","")</f>
        <v/>
      </c>
    </row>
    <row r="488" spans="1:16" s="109" customFormat="1" ht="18" hidden="1" customHeigh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124"/>
      <c r="J488" s="124"/>
      <c r="K488" s="124"/>
      <c r="L488" s="124"/>
      <c r="M488" s="74">
        <v>30000</v>
      </c>
      <c r="N488" s="75" t="s">
        <v>241</v>
      </c>
      <c r="O488" s="75" t="s">
        <v>54</v>
      </c>
      <c r="P488" s="134" t="str">
        <f>IF(AND('331-CT'!$E$7=TH!H488,OR(N488="331",O488="331")),"x","")</f>
        <v/>
      </c>
    </row>
    <row r="489" spans="1:16" s="109" customFormat="1" ht="18" hidden="1" customHeigh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124"/>
      <c r="J489" s="124"/>
      <c r="K489" s="124"/>
      <c r="L489" s="124"/>
      <c r="M489" s="74">
        <v>3000</v>
      </c>
      <c r="N489" s="75" t="s">
        <v>19</v>
      </c>
      <c r="O489" s="75" t="s">
        <v>54</v>
      </c>
      <c r="P489" s="134" t="str">
        <f>IF(AND('331-CT'!$E$7=TH!H489,OR(N489="331",O489="331")),"x","")</f>
        <v/>
      </c>
    </row>
    <row r="490" spans="1:16" s="109" customFormat="1" ht="18" hidden="1" customHeigh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122"/>
      <c r="J490" s="122"/>
      <c r="K490" s="122"/>
      <c r="L490" s="122"/>
      <c r="M490" s="74">
        <v>195198</v>
      </c>
      <c r="N490" s="75" t="s">
        <v>54</v>
      </c>
      <c r="O490" s="75" t="s">
        <v>99</v>
      </c>
      <c r="P490" s="134" t="str">
        <f>IF(AND('331-CT'!$E$7=TH!H490,OR(N490="331",O490="331")),"x","")</f>
        <v/>
      </c>
    </row>
    <row r="491" spans="1:16" s="109" customFormat="1" ht="18" hidden="1" customHeigh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124"/>
      <c r="J491" s="124"/>
      <c r="K491" s="124"/>
      <c r="L491" s="124"/>
      <c r="M491" s="74">
        <v>500000000</v>
      </c>
      <c r="N491" s="75" t="s">
        <v>18</v>
      </c>
      <c r="O491" s="75" t="s">
        <v>54</v>
      </c>
      <c r="P491" s="134" t="str">
        <f>IF(AND('331-CT'!$E$7=TH!H491,OR(N491="331",O491="331")),"x","")</f>
        <v/>
      </c>
    </row>
    <row r="492" spans="1:16" s="109" customFormat="1" ht="18" hidden="1" customHeigh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122"/>
      <c r="J492" s="122"/>
      <c r="K492" s="122"/>
      <c r="L492" s="122"/>
      <c r="M492" s="74">
        <v>150000</v>
      </c>
      <c r="N492" s="75" t="s">
        <v>241</v>
      </c>
      <c r="O492" s="75" t="s">
        <v>54</v>
      </c>
      <c r="P492" s="134" t="str">
        <f>IF(AND('331-CT'!$E$7=TH!H492,OR(N492="331",O492="331")),"x","")</f>
        <v/>
      </c>
    </row>
    <row r="493" spans="1:16" s="109" customFormat="1" ht="18" hidden="1" customHeigh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122"/>
      <c r="J493" s="122"/>
      <c r="K493" s="122"/>
      <c r="L493" s="122"/>
      <c r="M493" s="74">
        <v>15000</v>
      </c>
      <c r="N493" s="75" t="s">
        <v>19</v>
      </c>
      <c r="O493" s="75" t="s">
        <v>54</v>
      </c>
      <c r="P493" s="134" t="str">
        <f>IF(AND('331-CT'!$E$7=TH!H493,OR(N493="331",O493="331")),"x","")</f>
        <v/>
      </c>
    </row>
    <row r="494" spans="1:16" s="109" customFormat="1" ht="18" hidden="1" customHeigh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124"/>
      <c r="J494" s="124"/>
      <c r="K494" s="124"/>
      <c r="L494" s="124"/>
      <c r="M494" s="74">
        <v>100000000</v>
      </c>
      <c r="N494" s="75" t="s">
        <v>18</v>
      </c>
      <c r="O494" s="75" t="s">
        <v>54</v>
      </c>
      <c r="P494" s="134" t="str">
        <f>IF(AND('331-CT'!$E$7=TH!H494,OR(N494="331",O494="331")),"x","")</f>
        <v/>
      </c>
    </row>
    <row r="495" spans="1:16" s="109" customFormat="1" ht="18" hidden="1" customHeigh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124"/>
      <c r="J495" s="124"/>
      <c r="K495" s="124"/>
      <c r="L495" s="124"/>
      <c r="M495" s="74">
        <v>30000</v>
      </c>
      <c r="N495" s="75" t="s">
        <v>241</v>
      </c>
      <c r="O495" s="75" t="s">
        <v>54</v>
      </c>
      <c r="P495" s="134" t="str">
        <f>IF(AND('331-CT'!$E$7=TH!H495,OR(N495="331",O495="331")),"x","")</f>
        <v/>
      </c>
    </row>
    <row r="496" spans="1:16" s="109" customFormat="1" ht="18" hidden="1" customHeigh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124"/>
      <c r="J496" s="124"/>
      <c r="K496" s="124"/>
      <c r="L496" s="124"/>
      <c r="M496" s="74">
        <v>3000</v>
      </c>
      <c r="N496" s="75" t="s">
        <v>19</v>
      </c>
      <c r="O496" s="75" t="s">
        <v>54</v>
      </c>
      <c r="P496" s="134" t="str">
        <f>IF(AND('331-CT'!$E$7=TH!H496,OR(N496="331",O496="331")),"x","")</f>
        <v/>
      </c>
    </row>
    <row r="497" spans="1:16" s="109" customFormat="1" ht="18" hidden="1" customHeigh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"/>
      <c r="J497" s="7"/>
      <c r="K497" s="7"/>
      <c r="L497" s="7"/>
      <c r="M497" s="74">
        <v>30440000</v>
      </c>
      <c r="N497" s="136" t="s">
        <v>654</v>
      </c>
      <c r="O497" s="136" t="s">
        <v>18</v>
      </c>
      <c r="P497" s="134" t="str">
        <f>IF(AND('331-CT'!$E$7=TH!H497,OR(N497="331",O497="331")),"x","")</f>
        <v/>
      </c>
    </row>
    <row r="498" spans="1:16" s="109" customFormat="1" ht="18" hidden="1" customHeigh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122"/>
      <c r="J498" s="122"/>
      <c r="K498" s="122"/>
      <c r="L498" s="122"/>
      <c r="M498" s="74">
        <v>150000000</v>
      </c>
      <c r="N498" s="75" t="s">
        <v>212</v>
      </c>
      <c r="O498" s="75" t="s">
        <v>54</v>
      </c>
      <c r="P498" s="134" t="str">
        <f>IF(AND('331-CT'!$E$7=TH!H498,OR(N498="331",O498="331")),"x","")</f>
        <v/>
      </c>
    </row>
    <row r="499" spans="1:16" s="109" customFormat="1" ht="18" hidden="1" customHeigh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122"/>
      <c r="J499" s="122"/>
      <c r="K499" s="122"/>
      <c r="L499" s="122"/>
      <c r="M499" s="74">
        <v>75000</v>
      </c>
      <c r="N499" s="75" t="s">
        <v>241</v>
      </c>
      <c r="O499" s="75" t="s">
        <v>54</v>
      </c>
      <c r="P499" s="134" t="str">
        <f>IF(AND('331-CT'!$E$7=TH!H499,OR(N499="331",O499="331")),"x","")</f>
        <v/>
      </c>
    </row>
    <row r="500" spans="1:16" s="109" customFormat="1" ht="18" hidden="1" customHeigh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122"/>
      <c r="J500" s="122"/>
      <c r="K500" s="122"/>
      <c r="L500" s="122"/>
      <c r="M500" s="74">
        <v>7500</v>
      </c>
      <c r="N500" s="75" t="s">
        <v>19</v>
      </c>
      <c r="O500" s="75" t="s">
        <v>54</v>
      </c>
      <c r="P500" s="134" t="str">
        <f>IF(AND('331-CT'!$E$7=TH!H500,OR(N500="331",O500="331")),"x","")</f>
        <v/>
      </c>
    </row>
    <row r="501" spans="1:16" s="109" customFormat="1" ht="18" hidden="1" customHeigh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122"/>
      <c r="J501" s="122"/>
      <c r="K501" s="122"/>
      <c r="L501" s="122"/>
      <c r="M501" s="74">
        <v>150000000</v>
      </c>
      <c r="N501" s="75" t="s">
        <v>54</v>
      </c>
      <c r="O501" s="75" t="s">
        <v>212</v>
      </c>
      <c r="P501" s="134" t="str">
        <f>IF(AND('331-CT'!$E$7=TH!H501,OR(N501="331",O501="331")),"x","")</f>
        <v/>
      </c>
    </row>
    <row r="502" spans="1:16" s="109" customFormat="1" ht="18" hidden="1" customHeigh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122"/>
      <c r="J502" s="122"/>
      <c r="K502" s="122"/>
      <c r="L502" s="122"/>
      <c r="M502" s="74">
        <v>150000000</v>
      </c>
      <c r="N502" s="75" t="s">
        <v>18</v>
      </c>
      <c r="O502" s="75" t="s">
        <v>54</v>
      </c>
      <c r="P502" s="134" t="str">
        <f>IF(AND('331-CT'!$E$7=TH!H502,OR(N502="331",O502="331")),"x","")</f>
        <v/>
      </c>
    </row>
    <row r="503" spans="1:16" s="109" customFormat="1" ht="18" hidden="1" customHeigh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122"/>
      <c r="J503" s="122"/>
      <c r="K503" s="122"/>
      <c r="L503" s="122"/>
      <c r="M503" s="74">
        <v>75000</v>
      </c>
      <c r="N503" s="75" t="s">
        <v>241</v>
      </c>
      <c r="O503" s="75" t="s">
        <v>54</v>
      </c>
      <c r="P503" s="134" t="str">
        <f>IF(AND('331-CT'!$E$7=TH!H503,OR(N503="331",O503="331")),"x","")</f>
        <v/>
      </c>
    </row>
    <row r="504" spans="1:16" s="109" customFormat="1" ht="18" hidden="1" customHeigh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122"/>
      <c r="J504" s="122"/>
      <c r="K504" s="122"/>
      <c r="L504" s="122"/>
      <c r="M504" s="74">
        <v>7500</v>
      </c>
      <c r="N504" s="75" t="s">
        <v>19</v>
      </c>
      <c r="O504" s="75" t="s">
        <v>54</v>
      </c>
      <c r="P504" s="134" t="str">
        <f>IF(AND('331-CT'!$E$7=TH!H504,OR(N504="331",O504="331")),"x","")</f>
        <v/>
      </c>
    </row>
    <row r="505" spans="1:16" s="109" customFormat="1" ht="18" hidden="1" customHeigh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122"/>
      <c r="J505" s="122"/>
      <c r="K505" s="122"/>
      <c r="L505" s="122"/>
      <c r="M505" s="74">
        <v>1500000000</v>
      </c>
      <c r="N505" s="75" t="s">
        <v>54</v>
      </c>
      <c r="O505" s="75" t="s">
        <v>227</v>
      </c>
      <c r="P505" s="134" t="str">
        <f>IF(AND('331-CT'!$E$7=TH!H505,OR(N505="331",O505="331")),"x","")</f>
        <v/>
      </c>
    </row>
    <row r="506" spans="1:16" s="109" customFormat="1" ht="18" hidden="1" customHeigh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122"/>
      <c r="J506" s="122"/>
      <c r="K506" s="122"/>
      <c r="L506" s="122"/>
      <c r="M506" s="74">
        <v>500000000</v>
      </c>
      <c r="N506" s="78" t="s">
        <v>18</v>
      </c>
      <c r="O506" s="75" t="s">
        <v>54</v>
      </c>
      <c r="P506" s="134" t="str">
        <f>IF(AND('331-CT'!$E$7=TH!H506,OR(N506="331",O506="331")),"x","")</f>
        <v/>
      </c>
    </row>
    <row r="507" spans="1:16" s="109" customFormat="1" ht="18" hidden="1" customHeigh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122"/>
      <c r="J507" s="122"/>
      <c r="K507" s="122"/>
      <c r="L507" s="122"/>
      <c r="M507" s="74">
        <v>250000</v>
      </c>
      <c r="N507" s="75" t="s">
        <v>241</v>
      </c>
      <c r="O507" s="75" t="s">
        <v>54</v>
      </c>
      <c r="P507" s="134" t="str">
        <f>IF(AND('331-CT'!$E$7=TH!H507,OR(N507="331",O507="331")),"x","")</f>
        <v/>
      </c>
    </row>
    <row r="508" spans="1:16" s="109" customFormat="1" ht="18" hidden="1" customHeigh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122"/>
      <c r="J508" s="122"/>
      <c r="K508" s="122"/>
      <c r="L508" s="122"/>
      <c r="M508" s="74">
        <v>25000</v>
      </c>
      <c r="N508" s="75" t="s">
        <v>19</v>
      </c>
      <c r="O508" s="75" t="s">
        <v>54</v>
      </c>
      <c r="P508" s="134" t="str">
        <f>IF(AND('331-CT'!$E$7=TH!H508,OR(N508="331",O508="331")),"x","")</f>
        <v/>
      </c>
    </row>
    <row r="509" spans="1:16" s="109" customFormat="1" ht="18" hidden="1" customHeigh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122"/>
      <c r="J509" s="122"/>
      <c r="K509" s="122"/>
      <c r="L509" s="122"/>
      <c r="M509" s="74">
        <v>500000000</v>
      </c>
      <c r="N509" s="75" t="s">
        <v>18</v>
      </c>
      <c r="O509" s="75" t="s">
        <v>54</v>
      </c>
      <c r="P509" s="134" t="str">
        <f>IF(AND('331-CT'!$E$7=TH!H509,OR(N509="331",O509="331")),"x","")</f>
        <v/>
      </c>
    </row>
    <row r="510" spans="1:16" s="109" customFormat="1" ht="18" hidden="1" customHeigh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122"/>
      <c r="J510" s="122"/>
      <c r="K510" s="122"/>
      <c r="L510" s="122"/>
      <c r="M510" s="74">
        <v>150000</v>
      </c>
      <c r="N510" s="75" t="s">
        <v>241</v>
      </c>
      <c r="O510" s="75" t="s">
        <v>54</v>
      </c>
      <c r="P510" s="134" t="str">
        <f>IF(AND('331-CT'!$E$7=TH!H510,OR(N510="331",O510="331")),"x","")</f>
        <v/>
      </c>
    </row>
    <row r="511" spans="1:16" s="109" customFormat="1" ht="18" hidden="1" customHeigh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122"/>
      <c r="J511" s="122"/>
      <c r="K511" s="122"/>
      <c r="L511" s="122"/>
      <c r="M511" s="74">
        <v>15000</v>
      </c>
      <c r="N511" s="75" t="s">
        <v>19</v>
      </c>
      <c r="O511" s="75" t="s">
        <v>54</v>
      </c>
      <c r="P511" s="134" t="str">
        <f>IF(AND('331-CT'!$E$7=TH!H511,OR(N511="331",O511="331")),"x","")</f>
        <v/>
      </c>
    </row>
    <row r="512" spans="1:16" s="109" customFormat="1" ht="18" hidden="1" customHeigh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122"/>
      <c r="J512" s="122"/>
      <c r="K512" s="122"/>
      <c r="L512" s="122"/>
      <c r="M512" s="74">
        <v>97000000</v>
      </c>
      <c r="N512" s="78" t="s">
        <v>54</v>
      </c>
      <c r="O512" s="75" t="s">
        <v>203</v>
      </c>
      <c r="P512" s="134" t="str">
        <f>IF(AND('331-CT'!$E$7=TH!H512,OR(N512="331",O512="331")),"x","")</f>
        <v/>
      </c>
    </row>
    <row r="513" spans="1:16" s="109" customFormat="1" ht="18" hidden="1" customHeigh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123"/>
      <c r="J513" s="123"/>
      <c r="K513" s="123"/>
      <c r="L513" s="123"/>
      <c r="M513" s="74">
        <v>7916667</v>
      </c>
      <c r="N513" s="75" t="s">
        <v>239</v>
      </c>
      <c r="O513" s="75" t="s">
        <v>54</v>
      </c>
      <c r="P513" s="134" t="str">
        <f>IF(AND('331-CT'!$E$7=TH!H513,OR(N513="331",O513="331")),"x","")</f>
        <v/>
      </c>
    </row>
    <row r="514" spans="1:16" s="109" customFormat="1" ht="18" hidden="1" customHeigh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122"/>
      <c r="J514" s="122"/>
      <c r="K514" s="122"/>
      <c r="L514" s="122"/>
      <c r="M514" s="74">
        <v>15833333</v>
      </c>
      <c r="N514" s="75" t="s">
        <v>239</v>
      </c>
      <c r="O514" s="75" t="s">
        <v>54</v>
      </c>
      <c r="P514" s="134" t="str">
        <f>IF(AND('331-CT'!$E$7=TH!H514,OR(N514="331",O514="331")),"x","")</f>
        <v/>
      </c>
    </row>
    <row r="515" spans="1:16" s="109" customFormat="1" ht="18" hidden="1" customHeigh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122"/>
      <c r="J515" s="122"/>
      <c r="K515" s="122"/>
      <c r="L515" s="122"/>
      <c r="M515" s="74">
        <v>12666667</v>
      </c>
      <c r="N515" s="75" t="s">
        <v>239</v>
      </c>
      <c r="O515" s="75" t="s">
        <v>54</v>
      </c>
      <c r="P515" s="134" t="str">
        <f>IF(AND('331-CT'!$E$7=TH!H515,OR(N515="331",O515="331")),"x","")</f>
        <v/>
      </c>
    </row>
    <row r="516" spans="1:16" s="109" customFormat="1" ht="18" hidden="1" customHeigh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123"/>
      <c r="J516" s="123"/>
      <c r="K516" s="123"/>
      <c r="L516" s="123"/>
      <c r="M516" s="74">
        <v>11879701</v>
      </c>
      <c r="N516" s="75" t="s">
        <v>239</v>
      </c>
      <c r="O516" s="75" t="s">
        <v>54</v>
      </c>
      <c r="P516" s="134" t="str">
        <f>IF(AND('331-CT'!$E$7=TH!H516,OR(N516="331",O516="331")),"x","")</f>
        <v/>
      </c>
    </row>
    <row r="517" spans="1:16" s="109" customFormat="1" ht="18" hidden="1" customHeigh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122"/>
      <c r="J517" s="122"/>
      <c r="K517" s="122"/>
      <c r="L517" s="122"/>
      <c r="M517" s="74">
        <v>7916667</v>
      </c>
      <c r="N517" s="75" t="s">
        <v>239</v>
      </c>
      <c r="O517" s="75" t="s">
        <v>54</v>
      </c>
      <c r="P517" s="134" t="str">
        <f>IF(AND('331-CT'!$E$7=TH!H517,OR(N517="331",O517="331")),"x","")</f>
        <v/>
      </c>
    </row>
    <row r="518" spans="1:16" s="109" customFormat="1" ht="18" hidden="1" customHeigh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122"/>
      <c r="J518" s="122"/>
      <c r="K518" s="122"/>
      <c r="L518" s="122"/>
      <c r="M518" s="74">
        <v>11875000</v>
      </c>
      <c r="N518" s="75" t="s">
        <v>239</v>
      </c>
      <c r="O518" s="75" t="s">
        <v>54</v>
      </c>
      <c r="P518" s="134" t="str">
        <f>IF(AND('331-CT'!$E$7=TH!H518,OR(N518="331",O518="331")),"x","")</f>
        <v/>
      </c>
    </row>
    <row r="519" spans="1:16" s="109" customFormat="1" ht="18" hidden="1" customHeigh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122"/>
      <c r="J519" s="122"/>
      <c r="K519" s="122"/>
      <c r="L519" s="122"/>
      <c r="M519" s="74">
        <v>29027778</v>
      </c>
      <c r="N519" s="75" t="s">
        <v>239</v>
      </c>
      <c r="O519" s="75" t="s">
        <v>54</v>
      </c>
      <c r="P519" s="134" t="str">
        <f>IF(AND('331-CT'!$E$7=TH!H519,OR(N519="331",O519="331")),"x","")</f>
        <v/>
      </c>
    </row>
    <row r="520" spans="1:16" s="109" customFormat="1" ht="18" hidden="1" customHeigh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122"/>
      <c r="J520" s="122"/>
      <c r="K520" s="122"/>
      <c r="L520" s="122"/>
      <c r="M520" s="74">
        <v>150000000</v>
      </c>
      <c r="N520" s="75" t="s">
        <v>18</v>
      </c>
      <c r="O520" s="75" t="s">
        <v>54</v>
      </c>
      <c r="P520" s="134" t="str">
        <f>IF(AND('331-CT'!$E$7=TH!H520,OR(N520="331",O520="331")),"x","")</f>
        <v/>
      </c>
    </row>
    <row r="521" spans="1:16" s="109" customFormat="1" ht="18" hidden="1" customHeigh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122"/>
      <c r="J521" s="122"/>
      <c r="K521" s="122"/>
      <c r="L521" s="122"/>
      <c r="M521" s="74">
        <v>75000</v>
      </c>
      <c r="N521" s="75" t="s">
        <v>241</v>
      </c>
      <c r="O521" s="75" t="s">
        <v>54</v>
      </c>
      <c r="P521" s="134" t="str">
        <f>IF(AND('331-CT'!$E$7=TH!H521,OR(N521="331",O521="331")),"x","")</f>
        <v/>
      </c>
    </row>
    <row r="522" spans="1:16" s="109" customFormat="1" ht="18" hidden="1" customHeigh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122"/>
      <c r="J522" s="122"/>
      <c r="K522" s="122"/>
      <c r="L522" s="122"/>
      <c r="M522" s="74">
        <v>7500</v>
      </c>
      <c r="N522" s="75" t="s">
        <v>19</v>
      </c>
      <c r="O522" s="75" t="s">
        <v>54</v>
      </c>
      <c r="P522" s="134" t="str">
        <f>IF(AND('331-CT'!$E$7=TH!H522,OR(N522="331",O522="331")),"x","")</f>
        <v/>
      </c>
    </row>
    <row r="523" spans="1:16" s="109" customFormat="1" ht="18" hidden="1" customHeigh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9"/>
      <c r="J523" s="9"/>
      <c r="K523" s="9"/>
      <c r="L523" s="9"/>
      <c r="M523" s="74">
        <v>50000000</v>
      </c>
      <c r="N523" s="75" t="s">
        <v>18</v>
      </c>
      <c r="O523" s="75" t="s">
        <v>54</v>
      </c>
      <c r="P523" s="134" t="str">
        <f>IF(AND('331-CT'!$E$7=TH!H523,OR(N523="331",O523="331")),"x","")</f>
        <v/>
      </c>
    </row>
    <row r="524" spans="1:16" s="109" customFormat="1" ht="18" hidden="1" customHeigh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122"/>
      <c r="J524" s="122"/>
      <c r="K524" s="122"/>
      <c r="L524" s="122"/>
      <c r="M524" s="74">
        <v>25000</v>
      </c>
      <c r="N524" s="75" t="s">
        <v>241</v>
      </c>
      <c r="O524" s="75" t="s">
        <v>54</v>
      </c>
      <c r="P524" s="134" t="str">
        <f>IF(AND('331-CT'!$E$7=TH!H524,OR(N524="331",O524="331")),"x","")</f>
        <v/>
      </c>
    </row>
    <row r="525" spans="1:16" s="109" customFormat="1" ht="18" hidden="1" customHeigh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122"/>
      <c r="J525" s="122"/>
      <c r="K525" s="122"/>
      <c r="L525" s="122"/>
      <c r="M525" s="74">
        <v>2500</v>
      </c>
      <c r="N525" s="75" t="s">
        <v>19</v>
      </c>
      <c r="O525" s="75" t="s">
        <v>54</v>
      </c>
      <c r="P525" s="134" t="str">
        <f>IF(AND('331-CT'!$E$7=TH!H525,OR(N525="331",O525="331")),"x","")</f>
        <v/>
      </c>
    </row>
    <row r="526" spans="1:16" s="109" customFormat="1" ht="18" hidden="1" customHeigh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9"/>
      <c r="J526" s="9"/>
      <c r="K526" s="9"/>
      <c r="L526" s="9"/>
      <c r="M526" s="74">
        <v>200000000</v>
      </c>
      <c r="N526" s="75" t="s">
        <v>18</v>
      </c>
      <c r="O526" s="75" t="s">
        <v>54</v>
      </c>
      <c r="P526" s="134" t="str">
        <f>IF(AND('331-CT'!$E$7=TH!H526,OR(N526="331",O526="331")),"x","")</f>
        <v/>
      </c>
    </row>
    <row r="527" spans="1:16" s="109" customFormat="1" ht="18" hidden="1" customHeigh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122"/>
      <c r="J527" s="122"/>
      <c r="K527" s="122"/>
      <c r="L527" s="122"/>
      <c r="M527" s="74">
        <v>100000</v>
      </c>
      <c r="N527" s="75" t="s">
        <v>241</v>
      </c>
      <c r="O527" s="75" t="s">
        <v>54</v>
      </c>
      <c r="P527" s="134" t="str">
        <f>IF(AND('331-CT'!$E$7=TH!H527,OR(N527="331",O527="331")),"x","")</f>
        <v/>
      </c>
    </row>
    <row r="528" spans="1:16" s="109" customFormat="1" ht="18" hidden="1" customHeigh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122"/>
      <c r="J528" s="122"/>
      <c r="K528" s="122"/>
      <c r="L528" s="122"/>
      <c r="M528" s="74">
        <v>10000</v>
      </c>
      <c r="N528" s="75" t="s">
        <v>19</v>
      </c>
      <c r="O528" s="75" t="s">
        <v>54</v>
      </c>
      <c r="P528" s="134" t="str">
        <f>IF(AND('331-CT'!$E$7=TH!H528,OR(N528="331",O528="331")),"x","")</f>
        <v/>
      </c>
    </row>
    <row r="529" spans="1:16" s="109" customFormat="1" ht="18" hidden="1" customHeigh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2"/>
      <c r="J529" s="132"/>
      <c r="K529" s="132"/>
      <c r="L529" s="132"/>
      <c r="M529" s="133">
        <v>2020200</v>
      </c>
      <c r="N529" s="134" t="s">
        <v>241</v>
      </c>
      <c r="O529" s="134" t="s">
        <v>203</v>
      </c>
      <c r="P529" s="134" t="str">
        <f>IF(AND('331-CT'!$E$7=TH!H529,OR(N529="331",O529="331")),"x","")</f>
        <v/>
      </c>
    </row>
    <row r="530" spans="1:16" s="109" customFormat="1" ht="18" hidden="1" customHeigh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2"/>
      <c r="J530" s="132"/>
      <c r="K530" s="132"/>
      <c r="L530" s="132"/>
      <c r="M530" s="133">
        <v>101010</v>
      </c>
      <c r="N530" s="134" t="s">
        <v>19</v>
      </c>
      <c r="O530" s="134" t="s">
        <v>203</v>
      </c>
      <c r="P530" s="134" t="str">
        <f>IF(AND('331-CT'!$E$7=TH!H530,OR(N530="331",O530="331")),"x","")</f>
        <v/>
      </c>
    </row>
    <row r="531" spans="1:16" s="109" customFormat="1" ht="18" hidden="1" customHeigh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122"/>
      <c r="J531" s="122"/>
      <c r="K531" s="122"/>
      <c r="L531" s="122"/>
      <c r="M531" s="74">
        <v>192904</v>
      </c>
      <c r="N531" s="75" t="s">
        <v>54</v>
      </c>
      <c r="O531" s="75" t="s">
        <v>99</v>
      </c>
      <c r="P531" s="134" t="str">
        <f>IF(AND('331-CT'!$E$7=TH!H531,OR(N531="331",O531="331")),"x","")</f>
        <v/>
      </c>
    </row>
    <row r="532" spans="1:16" s="109" customFormat="1" ht="18" hidden="1" customHeigh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122"/>
      <c r="J532" s="122"/>
      <c r="K532" s="122"/>
      <c r="L532" s="122"/>
      <c r="M532" s="74">
        <v>27530000</v>
      </c>
      <c r="N532" s="75" t="s">
        <v>654</v>
      </c>
      <c r="O532" s="75" t="s">
        <v>203</v>
      </c>
      <c r="P532" s="134" t="str">
        <f>IF(AND('331-CT'!$E$7=TH!H532,OR(N532="331",O532="331")),"x","")</f>
        <v/>
      </c>
    </row>
    <row r="533" spans="1:16" s="109" customFormat="1" ht="18" hidden="1" customHeigh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122"/>
      <c r="J533" s="122"/>
      <c r="K533" s="122"/>
      <c r="L533" s="122"/>
      <c r="M533" s="74">
        <v>200000000</v>
      </c>
      <c r="N533" s="75" t="s">
        <v>18</v>
      </c>
      <c r="O533" s="75" t="s">
        <v>54</v>
      </c>
      <c r="P533" s="134" t="str">
        <f>IF(AND('331-CT'!$E$7=TH!H533,OR(N533="331",O533="331")),"x","")</f>
        <v>x</v>
      </c>
    </row>
    <row r="534" spans="1:16" s="109" customFormat="1" ht="18" hidden="1" customHeigh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122"/>
      <c r="J534" s="122"/>
      <c r="K534" s="122"/>
      <c r="L534" s="122"/>
      <c r="M534" s="74">
        <v>100000</v>
      </c>
      <c r="N534" s="75" t="s">
        <v>241</v>
      </c>
      <c r="O534" s="75" t="s">
        <v>54</v>
      </c>
      <c r="P534" s="134" t="str">
        <f>IF(AND('331-CT'!$E$7=TH!H534,OR(N534="331",O534="331")),"x","")</f>
        <v/>
      </c>
    </row>
    <row r="535" spans="1:16" s="109" customFormat="1" ht="18" hidden="1" customHeigh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122"/>
      <c r="J535" s="122"/>
      <c r="K535" s="122"/>
      <c r="L535" s="122"/>
      <c r="M535" s="74">
        <v>10000</v>
      </c>
      <c r="N535" s="75" t="s">
        <v>19</v>
      </c>
      <c r="O535" s="75" t="s">
        <v>54</v>
      </c>
      <c r="P535" s="134" t="str">
        <f>IF(AND('331-CT'!$E$7=TH!H535,OR(N535="331",O535="331")),"x","")</f>
        <v/>
      </c>
    </row>
    <row r="536" spans="1:16" s="135" customFormat="1" ht="18" hidden="1" customHeigh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"/>
      <c r="J536" s="7"/>
      <c r="K536" s="7"/>
      <c r="L536" s="7"/>
      <c r="M536" s="74">
        <v>36432000</v>
      </c>
      <c r="N536" s="75" t="s">
        <v>18</v>
      </c>
      <c r="O536" s="75" t="s">
        <v>54</v>
      </c>
      <c r="P536" s="134" t="str">
        <f>IF(AND('331-CT'!$E$7=TH!H536,OR(N536="331",O536="331")),"x","")</f>
        <v/>
      </c>
    </row>
    <row r="537" spans="1:16" s="135" customFormat="1" ht="18" hidden="1" customHeigh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122"/>
      <c r="J537" s="122"/>
      <c r="K537" s="122"/>
      <c r="L537" s="122"/>
      <c r="M537" s="74">
        <v>25000</v>
      </c>
      <c r="N537" s="75" t="s">
        <v>241</v>
      </c>
      <c r="O537" s="75" t="s">
        <v>54</v>
      </c>
      <c r="P537" s="134" t="str">
        <f>IF(AND('331-CT'!$E$7=TH!H537,OR(N537="331",O537="331")),"x","")</f>
        <v/>
      </c>
    </row>
    <row r="538" spans="1:16" s="109" customFormat="1" ht="18" hidden="1" customHeigh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122"/>
      <c r="J538" s="122"/>
      <c r="K538" s="122"/>
      <c r="L538" s="122"/>
      <c r="M538" s="74">
        <v>2500</v>
      </c>
      <c r="N538" s="75" t="s">
        <v>19</v>
      </c>
      <c r="O538" s="75" t="s">
        <v>54</v>
      </c>
      <c r="P538" s="134" t="str">
        <f>IF(AND('331-CT'!$E$7=TH!H538,OR(N538="331",O538="331")),"x","")</f>
        <v/>
      </c>
    </row>
    <row r="539" spans="1:16" s="109" customFormat="1" ht="18" hidden="1" customHeigh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122"/>
      <c r="J539" s="122"/>
      <c r="K539" s="122"/>
      <c r="L539" s="122"/>
      <c r="M539" s="74">
        <v>1000000</v>
      </c>
      <c r="N539" s="75" t="s">
        <v>241</v>
      </c>
      <c r="O539" s="75" t="s">
        <v>203</v>
      </c>
      <c r="P539" s="134" t="str">
        <f>IF(AND('331-CT'!$E$7=TH!H539,OR(N539="331",O539="331")),"x","")</f>
        <v/>
      </c>
    </row>
    <row r="540" spans="1:16" s="109" customFormat="1" ht="18" hidden="1" customHeigh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122"/>
      <c r="J540" s="122"/>
      <c r="K540" s="122"/>
      <c r="L540" s="122"/>
      <c r="M540" s="74">
        <v>45455</v>
      </c>
      <c r="N540" s="75" t="s">
        <v>241</v>
      </c>
      <c r="O540" s="75" t="s">
        <v>203</v>
      </c>
      <c r="P540" s="134" t="str">
        <f>IF(AND('331-CT'!$E$7=TH!H540,OR(N540="331",O540="331")),"x","")</f>
        <v/>
      </c>
    </row>
    <row r="541" spans="1:16" s="109" customFormat="1" ht="18" hidden="1" customHeigh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122"/>
      <c r="J541" s="122"/>
      <c r="K541" s="122"/>
      <c r="L541" s="122"/>
      <c r="M541" s="74">
        <v>4545</v>
      </c>
      <c r="N541" s="75" t="s">
        <v>19</v>
      </c>
      <c r="O541" s="75" t="s">
        <v>203</v>
      </c>
      <c r="P541" s="134" t="str">
        <f>IF(AND('331-CT'!$E$7=TH!H541,OR(N541="331",O541="331")),"x","")</f>
        <v/>
      </c>
    </row>
    <row r="542" spans="1:16" s="109" customFormat="1" ht="18" hidden="1" customHeigh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"/>
      <c r="J542" s="7"/>
      <c r="K542" s="7"/>
      <c r="L542" s="7"/>
      <c r="M542" s="74">
        <v>33120000</v>
      </c>
      <c r="N542" s="75" t="s">
        <v>241</v>
      </c>
      <c r="O542" s="75" t="s">
        <v>18</v>
      </c>
      <c r="P542" s="134" t="str">
        <f>IF(AND('331-CT'!$E$7=TH!H542,OR(N542="331",O542="331")),"x","")</f>
        <v/>
      </c>
    </row>
    <row r="543" spans="1:16" s="109" customFormat="1" ht="18" hidden="1" customHeigh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"/>
      <c r="J543" s="7"/>
      <c r="K543" s="7"/>
      <c r="L543" s="7"/>
      <c r="M543" s="74">
        <v>3312000</v>
      </c>
      <c r="N543" s="75" t="s">
        <v>19</v>
      </c>
      <c r="O543" s="75" t="s">
        <v>18</v>
      </c>
      <c r="P543" s="134" t="str">
        <f>IF(AND('331-CT'!$E$7=TH!H543,OR(N543="331",O543="331")),"x","")</f>
        <v/>
      </c>
    </row>
    <row r="544" spans="1:16" s="109" customFormat="1" ht="18" hidden="1" customHeigh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124"/>
      <c r="J544" s="124"/>
      <c r="K544" s="124"/>
      <c r="L544" s="124"/>
      <c r="M544" s="74">
        <v>100000000</v>
      </c>
      <c r="N544" s="75" t="s">
        <v>18</v>
      </c>
      <c r="O544" s="75" t="s">
        <v>54</v>
      </c>
      <c r="P544" s="134" t="str">
        <f>IF(AND('331-CT'!$E$7=TH!H544,OR(N544="331",O544="331")),"x","")</f>
        <v/>
      </c>
    </row>
    <row r="545" spans="1:16" s="109" customFormat="1" ht="18" hidden="1" customHeigh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122"/>
      <c r="J545" s="122"/>
      <c r="K545" s="122"/>
      <c r="L545" s="122"/>
      <c r="M545" s="74">
        <v>50000</v>
      </c>
      <c r="N545" s="75" t="s">
        <v>241</v>
      </c>
      <c r="O545" s="75" t="s">
        <v>54</v>
      </c>
      <c r="P545" s="134" t="str">
        <f>IF(AND('331-CT'!$E$7=TH!H545,OR(N545="331",O545="331")),"x","")</f>
        <v/>
      </c>
    </row>
    <row r="546" spans="1:16" s="109" customFormat="1" ht="18" hidden="1" customHeigh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122"/>
      <c r="J546" s="122"/>
      <c r="K546" s="122"/>
      <c r="L546" s="122"/>
      <c r="M546" s="74">
        <v>5000</v>
      </c>
      <c r="N546" s="75" t="s">
        <v>19</v>
      </c>
      <c r="O546" s="75" t="s">
        <v>54</v>
      </c>
      <c r="P546" s="134" t="str">
        <f>IF(AND('331-CT'!$E$7=TH!H546,OR(N546="331",O546="331")),"x","")</f>
        <v/>
      </c>
    </row>
    <row r="547" spans="1:16" s="109" customFormat="1" ht="18" hidden="1" customHeigh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122"/>
      <c r="J547" s="122"/>
      <c r="K547" s="122"/>
      <c r="L547" s="122"/>
      <c r="M547" s="74">
        <v>50000000</v>
      </c>
      <c r="N547" s="75" t="s">
        <v>18</v>
      </c>
      <c r="O547" s="75" t="s">
        <v>54</v>
      </c>
      <c r="P547" s="134" t="str">
        <f>IF(AND('331-CT'!$E$7=TH!H547,OR(N547="331",O547="331")),"x","")</f>
        <v/>
      </c>
    </row>
    <row r="548" spans="1:16" s="109" customFormat="1" ht="18" hidden="1" customHeigh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122"/>
      <c r="J548" s="122"/>
      <c r="K548" s="122"/>
      <c r="L548" s="122"/>
      <c r="M548" s="74">
        <v>25000</v>
      </c>
      <c r="N548" s="75" t="s">
        <v>241</v>
      </c>
      <c r="O548" s="75" t="s">
        <v>54</v>
      </c>
      <c r="P548" s="134" t="str">
        <f>IF(AND('331-CT'!$E$7=TH!H548,OR(N548="331",O548="331")),"x","")</f>
        <v/>
      </c>
    </row>
    <row r="549" spans="1:16" s="109" customFormat="1" ht="18" hidden="1" customHeigh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122"/>
      <c r="J549" s="122"/>
      <c r="K549" s="122"/>
      <c r="L549" s="122"/>
      <c r="M549" s="74">
        <v>2500</v>
      </c>
      <c r="N549" s="75" t="s">
        <v>19</v>
      </c>
      <c r="O549" s="75" t="s">
        <v>54</v>
      </c>
      <c r="P549" s="134" t="str">
        <f>IF(AND('331-CT'!$E$7=TH!H549,OR(N549="331",O549="331")),"x","")</f>
        <v/>
      </c>
    </row>
    <row r="550" spans="1:16" s="109" customFormat="1" ht="18" hidden="1" customHeigh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123"/>
      <c r="J550" s="123"/>
      <c r="K550" s="123"/>
      <c r="L550" s="123"/>
      <c r="M550" s="74">
        <v>1500000000</v>
      </c>
      <c r="N550" s="75" t="s">
        <v>54</v>
      </c>
      <c r="O550" s="75" t="s">
        <v>227</v>
      </c>
      <c r="P550" s="134" t="str">
        <f>IF(AND('331-CT'!$E$7=TH!H550,OR(N550="331",O550="331")),"x","")</f>
        <v/>
      </c>
    </row>
    <row r="551" spans="1:16" s="109" customFormat="1" ht="18" hidden="1" customHeigh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9"/>
      <c r="J551" s="9"/>
      <c r="K551" s="9"/>
      <c r="L551" s="9"/>
      <c r="M551" s="74">
        <v>500000000</v>
      </c>
      <c r="N551" s="75" t="s">
        <v>18</v>
      </c>
      <c r="O551" s="75" t="s">
        <v>54</v>
      </c>
      <c r="P551" s="134" t="str">
        <f>IF(AND('331-CT'!$E$7=TH!H551,OR(N551="331",O551="331")),"x","")</f>
        <v/>
      </c>
    </row>
    <row r="552" spans="1:16" s="109" customFormat="1" ht="18" hidden="1" customHeigh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122"/>
      <c r="J552" s="122"/>
      <c r="K552" s="122"/>
      <c r="L552" s="122"/>
      <c r="M552" s="74">
        <v>150000</v>
      </c>
      <c r="N552" s="75" t="s">
        <v>241</v>
      </c>
      <c r="O552" s="75" t="s">
        <v>54</v>
      </c>
      <c r="P552" s="134" t="str">
        <f>IF(AND('331-CT'!$E$7=TH!H552,OR(N552="331",O552="331")),"x","")</f>
        <v/>
      </c>
    </row>
    <row r="553" spans="1:16" s="109" customFormat="1" ht="18" hidden="1" customHeigh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122"/>
      <c r="J553" s="122"/>
      <c r="K553" s="122"/>
      <c r="L553" s="122"/>
      <c r="M553" s="74">
        <v>15000</v>
      </c>
      <c r="N553" s="75" t="s">
        <v>19</v>
      </c>
      <c r="O553" s="75" t="s">
        <v>54</v>
      </c>
      <c r="P553" s="134" t="str">
        <f>IF(AND('331-CT'!$E$7=TH!H553,OR(N553="331",O553="331")),"x","")</f>
        <v/>
      </c>
    </row>
    <row r="554" spans="1:16" s="109" customFormat="1" ht="18" hidden="1" customHeigh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122"/>
      <c r="J554" s="122"/>
      <c r="K554" s="122"/>
      <c r="L554" s="122"/>
      <c r="M554" s="74">
        <v>200000000</v>
      </c>
      <c r="N554" s="75" t="s">
        <v>18</v>
      </c>
      <c r="O554" s="75" t="s">
        <v>54</v>
      </c>
      <c r="P554" s="134" t="str">
        <f>IF(AND('331-CT'!$E$7=TH!H554,OR(N554="331",O554="331")),"x","")</f>
        <v/>
      </c>
    </row>
    <row r="555" spans="1:16" s="109" customFormat="1" ht="18" hidden="1" customHeigh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122"/>
      <c r="J555" s="122"/>
      <c r="K555" s="122"/>
      <c r="L555" s="122"/>
      <c r="M555" s="74">
        <v>100000</v>
      </c>
      <c r="N555" s="75" t="s">
        <v>241</v>
      </c>
      <c r="O555" s="75" t="s">
        <v>54</v>
      </c>
      <c r="P555" s="134" t="str">
        <f>IF(AND('331-CT'!$E$7=TH!H555,OR(N555="331",O555="331")),"x","")</f>
        <v/>
      </c>
    </row>
    <row r="556" spans="1:16" s="109" customFormat="1" ht="18" hidden="1" customHeigh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122"/>
      <c r="J556" s="122"/>
      <c r="K556" s="122"/>
      <c r="L556" s="122"/>
      <c r="M556" s="74">
        <v>10000</v>
      </c>
      <c r="N556" s="75" t="s">
        <v>19</v>
      </c>
      <c r="O556" s="75" t="s">
        <v>54</v>
      </c>
      <c r="P556" s="134" t="str">
        <f>IF(AND('331-CT'!$E$7=TH!H556,OR(N556="331",O556="331")),"x","")</f>
        <v/>
      </c>
    </row>
    <row r="557" spans="1:16" s="109" customFormat="1" ht="18" hidden="1" customHeigh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9"/>
      <c r="J557" s="9"/>
      <c r="K557" s="9"/>
      <c r="L557" s="9"/>
      <c r="M557" s="74">
        <v>140000000</v>
      </c>
      <c r="N557" s="75" t="s">
        <v>18</v>
      </c>
      <c r="O557" s="75" t="s">
        <v>54</v>
      </c>
      <c r="P557" s="134" t="str">
        <f>IF(AND('331-CT'!$E$7=TH!H557,OR(N557="331",O557="331")),"x","")</f>
        <v/>
      </c>
    </row>
    <row r="558" spans="1:16" s="109" customFormat="1" ht="18" hidden="1" customHeigh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122"/>
      <c r="J558" s="122"/>
      <c r="K558" s="122"/>
      <c r="L558" s="122"/>
      <c r="M558" s="74">
        <v>42000</v>
      </c>
      <c r="N558" s="75" t="s">
        <v>241</v>
      </c>
      <c r="O558" s="75" t="s">
        <v>54</v>
      </c>
      <c r="P558" s="134" t="str">
        <f>IF(AND('331-CT'!$E$7=TH!H558,OR(N558="331",O558="331")),"x","")</f>
        <v/>
      </c>
    </row>
    <row r="559" spans="1:16" s="109" customFormat="1" ht="18" hidden="1" customHeigh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122"/>
      <c r="J559" s="122"/>
      <c r="K559" s="122"/>
      <c r="L559" s="122"/>
      <c r="M559" s="74">
        <v>4200</v>
      </c>
      <c r="N559" s="75" t="s">
        <v>19</v>
      </c>
      <c r="O559" s="75" t="s">
        <v>54</v>
      </c>
      <c r="P559" s="134" t="str">
        <f>IF(AND('331-CT'!$E$7=TH!H559,OR(N559="331",O559="331")),"x","")</f>
        <v/>
      </c>
    </row>
    <row r="560" spans="1:16" s="109" customFormat="1" ht="18" hidden="1" customHeigh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9"/>
      <c r="J560" s="9"/>
      <c r="K560" s="9"/>
      <c r="L560" s="9"/>
      <c r="M560" s="74">
        <v>200000000</v>
      </c>
      <c r="N560" s="75" t="s">
        <v>18</v>
      </c>
      <c r="O560" s="75" t="s">
        <v>54</v>
      </c>
      <c r="P560" s="134" t="str">
        <f>IF(AND('331-CT'!$E$7=TH!H560,OR(N560="331",O560="331")),"x","")</f>
        <v/>
      </c>
    </row>
    <row r="561" spans="1:16" s="109" customFormat="1" ht="18" hidden="1" customHeigh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122"/>
      <c r="J561" s="122"/>
      <c r="K561" s="122"/>
      <c r="L561" s="122"/>
      <c r="M561" s="74">
        <v>60000</v>
      </c>
      <c r="N561" s="75" t="s">
        <v>241</v>
      </c>
      <c r="O561" s="75" t="s">
        <v>54</v>
      </c>
      <c r="P561" s="134" t="str">
        <f>IF(AND('331-CT'!$E$7=TH!H561,OR(N561="331",O561="331")),"x","")</f>
        <v/>
      </c>
    </row>
    <row r="562" spans="1:16" ht="18" hidden="1" customHeight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122"/>
      <c r="J562" s="122"/>
      <c r="K562" s="122"/>
      <c r="L562" s="122"/>
      <c r="M562" s="74">
        <v>6000</v>
      </c>
      <c r="N562" s="75" t="s">
        <v>19</v>
      </c>
      <c r="O562" s="75" t="s">
        <v>54</v>
      </c>
      <c r="P562" s="134" t="str">
        <f>IF(AND('331-CT'!$E$7=TH!H562,OR(N562="331",O562="331")),"x","")</f>
        <v/>
      </c>
    </row>
    <row r="563" spans="1:16" ht="18" hidden="1" customHeight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9"/>
      <c r="J563" s="9"/>
      <c r="K563" s="9"/>
      <c r="L563" s="9"/>
      <c r="M563" s="74">
        <v>171000000</v>
      </c>
      <c r="N563" s="75" t="s">
        <v>18</v>
      </c>
      <c r="O563" s="75" t="s">
        <v>54</v>
      </c>
      <c r="P563" s="134" t="str">
        <f>IF(AND('331-CT'!$E$7=TH!H563,OR(N563="331",O563="331")),"x","")</f>
        <v/>
      </c>
    </row>
    <row r="564" spans="1:16" ht="18" hidden="1" customHeight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122"/>
      <c r="J564" s="122"/>
      <c r="K564" s="122"/>
      <c r="L564" s="122"/>
      <c r="M564" s="74">
        <v>30440000</v>
      </c>
      <c r="N564" s="75" t="s">
        <v>18</v>
      </c>
      <c r="O564" s="75" t="s">
        <v>54</v>
      </c>
      <c r="P564" s="134" t="str">
        <f>IF(AND('331-CT'!$E$7=TH!H564,OR(N564="331",O564="331")),"x","")</f>
        <v/>
      </c>
    </row>
    <row r="565" spans="1:16" ht="18" hidden="1" customHeight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122"/>
      <c r="J565" s="122"/>
      <c r="K565" s="122"/>
      <c r="L565" s="122"/>
      <c r="M565" s="74">
        <v>25000</v>
      </c>
      <c r="N565" s="75" t="s">
        <v>241</v>
      </c>
      <c r="O565" s="75" t="s">
        <v>54</v>
      </c>
      <c r="P565" s="134" t="str">
        <f>IF(AND('331-CT'!$E$7=TH!H565,OR(N565="331",O565="331")),"x","")</f>
        <v/>
      </c>
    </row>
    <row r="566" spans="1:16" ht="18" hidden="1" customHeight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123"/>
      <c r="J566" s="123"/>
      <c r="K566" s="123"/>
      <c r="L566" s="123"/>
      <c r="M566" s="74">
        <v>2500</v>
      </c>
      <c r="N566" s="75" t="s">
        <v>19</v>
      </c>
      <c r="O566" s="75" t="s">
        <v>54</v>
      </c>
      <c r="P566" s="134" t="str">
        <f>IF(AND('331-CT'!$E$7=TH!H566,OR(N566="331",O566="331")),"x","")</f>
        <v/>
      </c>
    </row>
    <row r="567" spans="1:16" ht="18" hidden="1" customHeight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122"/>
      <c r="J567" s="122"/>
      <c r="K567" s="122"/>
      <c r="L567" s="122"/>
      <c r="M567" s="74">
        <v>85500</v>
      </c>
      <c r="N567" s="75" t="s">
        <v>241</v>
      </c>
      <c r="O567" s="75" t="s">
        <v>54</v>
      </c>
      <c r="P567" s="134" t="str">
        <f>IF(AND('331-CT'!$E$7=TH!H567,OR(N567="331",O567="331")),"x","")</f>
        <v/>
      </c>
    </row>
    <row r="568" spans="1:16" ht="18" hidden="1" customHeight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122"/>
      <c r="J568" s="122"/>
      <c r="K568" s="122"/>
      <c r="L568" s="122"/>
      <c r="M568" s="74">
        <v>8550</v>
      </c>
      <c r="N568" s="75" t="s">
        <v>19</v>
      </c>
      <c r="O568" s="75" t="s">
        <v>54</v>
      </c>
      <c r="P568" s="134" t="str">
        <f>IF(AND('331-CT'!$E$7=TH!H568,OR(N568="331",O568="331")),"x","")</f>
        <v/>
      </c>
    </row>
    <row r="569" spans="1:16" ht="18" hidden="1" customHeight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9"/>
      <c r="J569" s="9"/>
      <c r="K569" s="9"/>
      <c r="L569" s="9"/>
      <c r="M569" s="74">
        <v>100000000</v>
      </c>
      <c r="N569" s="75" t="s">
        <v>18</v>
      </c>
      <c r="O569" s="75" t="s">
        <v>54</v>
      </c>
      <c r="P569" s="134" t="str">
        <f>IF(AND('331-CT'!$E$7=TH!H569,OR(N569="331",O569="331")),"x","")</f>
        <v/>
      </c>
    </row>
    <row r="570" spans="1:16" ht="18" hidden="1" customHeight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122"/>
      <c r="J570" s="122"/>
      <c r="K570" s="122"/>
      <c r="L570" s="122"/>
      <c r="M570" s="74">
        <v>50000</v>
      </c>
      <c r="N570" s="75" t="s">
        <v>241</v>
      </c>
      <c r="O570" s="75" t="s">
        <v>54</v>
      </c>
      <c r="P570" s="134" t="str">
        <f>IF(AND('331-CT'!$E$7=TH!H570,OR(N570="331",O570="331")),"x","")</f>
        <v/>
      </c>
    </row>
    <row r="571" spans="1:16" ht="18" hidden="1" customHeight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123"/>
      <c r="J571" s="123"/>
      <c r="K571" s="123"/>
      <c r="L571" s="123"/>
      <c r="M571" s="74">
        <v>5000</v>
      </c>
      <c r="N571" s="75" t="s">
        <v>19</v>
      </c>
      <c r="O571" s="75" t="s">
        <v>54</v>
      </c>
      <c r="P571" s="134" t="str">
        <f>IF(AND('331-CT'!$E$7=TH!H571,OR(N571="331",O571="331")),"x","")</f>
        <v/>
      </c>
    </row>
    <row r="572" spans="1:16" ht="18" hidden="1" customHeight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122"/>
      <c r="J572" s="122"/>
      <c r="K572" s="122"/>
      <c r="L572" s="122"/>
      <c r="M572" s="74">
        <v>88048</v>
      </c>
      <c r="N572" s="75" t="s">
        <v>54</v>
      </c>
      <c r="O572" s="75" t="s">
        <v>99</v>
      </c>
      <c r="P572" s="134" t="str">
        <f>IF(AND('331-CT'!$E$7=TH!H572,OR(N572="331",O572="331")),"x","")</f>
        <v/>
      </c>
    </row>
    <row r="573" spans="1:16" ht="18" hidden="1" customHeight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122"/>
      <c r="J573" s="122"/>
      <c r="K573" s="122"/>
      <c r="L573" s="122"/>
      <c r="M573" s="74">
        <v>116000000</v>
      </c>
      <c r="N573" s="75" t="s">
        <v>54</v>
      </c>
      <c r="O573" s="75" t="s">
        <v>203</v>
      </c>
      <c r="P573" s="134" t="str">
        <f>IF(AND('331-CT'!$E$7=TH!H573,OR(N573="331",O573="331")),"x","")</f>
        <v/>
      </c>
    </row>
    <row r="574" spans="1:16" ht="18" hidden="1" customHeight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124"/>
      <c r="J574" s="124"/>
      <c r="K574" s="124"/>
      <c r="L574" s="124"/>
      <c r="M574" s="74">
        <v>173764636</v>
      </c>
      <c r="N574" s="75" t="s">
        <v>654</v>
      </c>
      <c r="O574" s="75" t="s">
        <v>18</v>
      </c>
      <c r="P574" s="134" t="str">
        <f>IF(AND('331-CT'!$E$7=TH!H574,OR(N574="331",O574="331")),"x","")</f>
        <v/>
      </c>
    </row>
    <row r="575" spans="1:16" ht="18" hidden="1" customHeight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124"/>
      <c r="J575" s="124"/>
      <c r="K575" s="124"/>
      <c r="L575" s="124"/>
      <c r="M575" s="74">
        <v>17376464</v>
      </c>
      <c r="N575" s="75" t="s">
        <v>19</v>
      </c>
      <c r="O575" s="75" t="s">
        <v>18</v>
      </c>
      <c r="P575" s="134" t="str">
        <f>IF(AND('331-CT'!$E$7=TH!H575,OR(N575="331",O575="331")),"x","")</f>
        <v/>
      </c>
    </row>
    <row r="576" spans="1:16" ht="18" hidden="1" customHeight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124"/>
      <c r="J576" s="124"/>
      <c r="K576" s="124"/>
      <c r="L576" s="124"/>
      <c r="M576" s="74">
        <v>46033273</v>
      </c>
      <c r="N576" s="75" t="s">
        <v>654</v>
      </c>
      <c r="O576" s="75" t="s">
        <v>18</v>
      </c>
      <c r="P576" s="134" t="str">
        <f>IF(AND('331-CT'!$E$7=TH!H576,OR(N576="331",O576="331")),"x","")</f>
        <v/>
      </c>
    </row>
    <row r="577" spans="1:16" ht="18" hidden="1" customHeight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124"/>
      <c r="J577" s="124"/>
      <c r="K577" s="124"/>
      <c r="L577" s="124"/>
      <c r="M577" s="74">
        <v>4603327</v>
      </c>
      <c r="N577" s="75" t="s">
        <v>19</v>
      </c>
      <c r="O577" s="75" t="s">
        <v>18</v>
      </c>
      <c r="P577" s="134" t="str">
        <f>IF(AND('331-CT'!$E$7=TH!H577,OR(N577="331",O577="331")),"x","")</f>
        <v/>
      </c>
    </row>
    <row r="578" spans="1:16" ht="18" hidden="1" customHeight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124"/>
      <c r="J578" s="124"/>
      <c r="K578" s="124"/>
      <c r="L578" s="124"/>
      <c r="M578" s="74">
        <v>12290909</v>
      </c>
      <c r="N578" s="136" t="s">
        <v>654</v>
      </c>
      <c r="O578" s="136" t="s">
        <v>18</v>
      </c>
      <c r="P578" s="134" t="str">
        <f>IF(AND('331-CT'!$E$7=TH!H578,OR(N578="331",O578="331")),"x","")</f>
        <v/>
      </c>
    </row>
    <row r="579" spans="1:16" ht="18" hidden="1" customHeight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124"/>
      <c r="J579" s="124"/>
      <c r="K579" s="124"/>
      <c r="L579" s="124"/>
      <c r="M579" s="74">
        <v>1229091</v>
      </c>
      <c r="N579" s="136" t="s">
        <v>19</v>
      </c>
      <c r="O579" s="136" t="s">
        <v>18</v>
      </c>
      <c r="P579" s="134" t="str">
        <f>IF(AND('331-CT'!$E$7=TH!H579,OR(N579="331",O579="331")),"x","")</f>
        <v/>
      </c>
    </row>
    <row r="580" spans="1:16" ht="18" hidden="1" customHeight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122"/>
      <c r="J580" s="122"/>
      <c r="K580" s="122"/>
      <c r="L580" s="122"/>
      <c r="M580" s="74">
        <v>8203223</v>
      </c>
      <c r="N580" s="75" t="s">
        <v>239</v>
      </c>
      <c r="O580" s="75" t="s">
        <v>54</v>
      </c>
      <c r="P580" s="134" t="str">
        <f>IF(AND('331-CT'!$E$7=TH!H580,OR(N580="331",O580="331")),"x","")</f>
        <v/>
      </c>
    </row>
    <row r="581" spans="1:16" ht="18" hidden="1" customHeight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122"/>
      <c r="J581" s="122"/>
      <c r="K581" s="122"/>
      <c r="L581" s="122"/>
      <c r="M581" s="74">
        <v>16406445</v>
      </c>
      <c r="N581" s="75" t="s">
        <v>239</v>
      </c>
      <c r="O581" s="75" t="s">
        <v>54</v>
      </c>
      <c r="P581" s="134" t="str">
        <f>IF(AND('331-CT'!$E$7=TH!H581,OR(N581="331",O581="331")),"x","")</f>
        <v/>
      </c>
    </row>
    <row r="582" spans="1:16" ht="18" hidden="1" customHeight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122"/>
      <c r="J582" s="122"/>
      <c r="K582" s="122"/>
      <c r="L582" s="122"/>
      <c r="M582" s="74">
        <v>13125156</v>
      </c>
      <c r="N582" s="75" t="s">
        <v>239</v>
      </c>
      <c r="O582" s="75" t="s">
        <v>54</v>
      </c>
      <c r="P582" s="134" t="str">
        <f>IF(AND('331-CT'!$E$7=TH!H582,OR(N582="331",O582="331")),"x","")</f>
        <v/>
      </c>
    </row>
    <row r="583" spans="1:16" ht="18" hidden="1" customHeight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122"/>
      <c r="J583" s="122"/>
      <c r="K583" s="122"/>
      <c r="L583" s="122"/>
      <c r="M583" s="74">
        <v>12304833</v>
      </c>
      <c r="N583" s="75" t="s">
        <v>239</v>
      </c>
      <c r="O583" s="75" t="s">
        <v>54</v>
      </c>
      <c r="P583" s="134" t="str">
        <f>IF(AND('331-CT'!$E$7=TH!H583,OR(N583="331",O583="331")),"x","")</f>
        <v/>
      </c>
    </row>
    <row r="584" spans="1:16" ht="18" hidden="1" customHeight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122"/>
      <c r="J584" s="122"/>
      <c r="K584" s="122"/>
      <c r="L584" s="122"/>
      <c r="M584" s="74">
        <v>8203223</v>
      </c>
      <c r="N584" s="75" t="s">
        <v>239</v>
      </c>
      <c r="O584" s="75" t="s">
        <v>54</v>
      </c>
      <c r="P584" s="134" t="str">
        <f>IF(AND('331-CT'!$E$7=TH!H584,OR(N584="331",O584="331")),"x","")</f>
        <v/>
      </c>
    </row>
    <row r="585" spans="1:16" ht="18" hidden="1" customHeight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123"/>
      <c r="J585" s="123"/>
      <c r="K585" s="123"/>
      <c r="L585" s="123"/>
      <c r="M585" s="74">
        <v>12304833</v>
      </c>
      <c r="N585" s="75" t="s">
        <v>239</v>
      </c>
      <c r="O585" s="75" t="s">
        <v>54</v>
      </c>
      <c r="P585" s="134" t="str">
        <f>IF(AND('331-CT'!$E$7=TH!H585,OR(N585="331",O585="331")),"x","")</f>
        <v/>
      </c>
    </row>
    <row r="586" spans="1:16" ht="18" hidden="1" customHeight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122"/>
      <c r="J586" s="122"/>
      <c r="K586" s="122"/>
      <c r="L586" s="122"/>
      <c r="M586" s="74">
        <v>16407126</v>
      </c>
      <c r="N586" s="75" t="s">
        <v>239</v>
      </c>
      <c r="O586" s="75" t="s">
        <v>54</v>
      </c>
      <c r="P586" s="134" t="str">
        <f>IF(AND('331-CT'!$E$7=TH!H586,OR(N586="331",O586="331")),"x","")</f>
        <v/>
      </c>
    </row>
    <row r="587" spans="1:16" ht="18" hidden="1" customHeight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122"/>
      <c r="J587" s="122"/>
      <c r="K587" s="122"/>
      <c r="L587" s="122"/>
      <c r="M587" s="74">
        <v>22228087</v>
      </c>
      <c r="N587" s="75" t="s">
        <v>239</v>
      </c>
      <c r="O587" s="75" t="s">
        <v>54</v>
      </c>
      <c r="P587" s="134" t="str">
        <f>IF(AND('331-CT'!$E$7=TH!H587,OR(N587="331",O587="331")),"x","")</f>
        <v/>
      </c>
    </row>
    <row r="588" spans="1:16" ht="18" hidden="1" customHeight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122"/>
      <c r="J588" s="122"/>
      <c r="K588" s="122"/>
      <c r="L588" s="122"/>
      <c r="M588" s="74">
        <v>14289484</v>
      </c>
      <c r="N588" s="75" t="s">
        <v>239</v>
      </c>
      <c r="O588" s="75" t="s">
        <v>54</v>
      </c>
      <c r="P588" s="134" t="str">
        <f>IF(AND('331-CT'!$E$7=TH!H588,OR(N588="331",O588="331")),"x","")</f>
        <v/>
      </c>
    </row>
    <row r="589" spans="1:16" ht="18" hidden="1" customHeight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122"/>
      <c r="J589" s="122"/>
      <c r="K589" s="122"/>
      <c r="L589" s="122"/>
      <c r="M589" s="74">
        <v>6818181818</v>
      </c>
      <c r="N589" s="136" t="s">
        <v>654</v>
      </c>
      <c r="O589" s="75" t="s">
        <v>18</v>
      </c>
      <c r="P589" s="134" t="str">
        <f>IF(AND('331-CT'!$E$7=TH!H589,OR(N589="331",O589="331")),"x","")</f>
        <v/>
      </c>
    </row>
    <row r="590" spans="1:16" ht="18" hidden="1" customHeight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122"/>
      <c r="J590" s="122"/>
      <c r="K590" s="122"/>
      <c r="L590" s="122"/>
      <c r="M590" s="74">
        <v>681818182</v>
      </c>
      <c r="N590" s="136" t="s">
        <v>19</v>
      </c>
      <c r="O590" s="75" t="s">
        <v>18</v>
      </c>
      <c r="P590" s="134" t="str">
        <f>IF(AND('331-CT'!$E$7=TH!H590,OR(N590="331",O590="331")),"x","")</f>
        <v/>
      </c>
    </row>
    <row r="591" spans="1:16" ht="18" hidden="1" customHeight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9"/>
      <c r="J591" s="9"/>
      <c r="K591" s="9"/>
      <c r="L591" s="9"/>
      <c r="M591" s="74">
        <v>45000000</v>
      </c>
      <c r="N591" s="75" t="s">
        <v>18</v>
      </c>
      <c r="O591" s="75" t="s">
        <v>54</v>
      </c>
      <c r="P591" s="134" t="str">
        <f>IF(AND('331-CT'!$E$7=TH!H591,OR(N591="331",O591="331")),"x","")</f>
        <v/>
      </c>
    </row>
    <row r="592" spans="1:16" ht="18" hidden="1" customHeight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122"/>
      <c r="J592" s="122"/>
      <c r="K592" s="122"/>
      <c r="L592" s="122"/>
      <c r="M592" s="74">
        <v>20000</v>
      </c>
      <c r="N592" s="75" t="s">
        <v>241</v>
      </c>
      <c r="O592" s="75" t="s">
        <v>54</v>
      </c>
      <c r="P592" s="134" t="str">
        <f>IF(AND('331-CT'!$E$7=TH!H592,OR(N592="331",O592="331")),"x","")</f>
        <v/>
      </c>
    </row>
    <row r="593" spans="1:16" ht="18" hidden="1" customHeight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122"/>
      <c r="J593" s="122"/>
      <c r="K593" s="122"/>
      <c r="L593" s="122"/>
      <c r="M593" s="74">
        <v>2000</v>
      </c>
      <c r="N593" s="75" t="s">
        <v>19</v>
      </c>
      <c r="O593" s="75" t="s">
        <v>54</v>
      </c>
      <c r="P593" s="134" t="str">
        <f>IF(AND('331-CT'!$E$7=TH!H593,OR(N593="331",O593="331")),"x","")</f>
        <v/>
      </c>
    </row>
    <row r="594" spans="1:16" ht="18" customHeight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9"/>
      <c r="J594" s="9"/>
      <c r="K594" s="9"/>
      <c r="L594" s="9"/>
      <c r="M594" s="74">
        <v>100000000</v>
      </c>
      <c r="N594" s="75" t="s">
        <v>18</v>
      </c>
      <c r="O594" s="75" t="s">
        <v>54</v>
      </c>
      <c r="P594" s="134" t="str">
        <f>IF(AND('331-CT'!$E$7=TH!H594,OR(N594="331",O594="331")),"x","")</f>
        <v/>
      </c>
    </row>
    <row r="595" spans="1:16" ht="18" hidden="1" customHeight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122"/>
      <c r="J595" s="122"/>
      <c r="K595" s="122"/>
      <c r="L595" s="122"/>
      <c r="M595" s="74">
        <v>30000</v>
      </c>
      <c r="N595" s="75" t="s">
        <v>241</v>
      </c>
      <c r="O595" s="75" t="s">
        <v>54</v>
      </c>
      <c r="P595" s="134" t="str">
        <f>IF(AND('331-CT'!$E$7=TH!H595,OR(N595="331",O595="331")),"x","")</f>
        <v/>
      </c>
    </row>
    <row r="596" spans="1:16" ht="18" hidden="1" customHeight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122"/>
      <c r="J596" s="122"/>
      <c r="K596" s="122"/>
      <c r="L596" s="122"/>
      <c r="M596" s="74">
        <v>3000</v>
      </c>
      <c r="N596" s="75" t="s">
        <v>19</v>
      </c>
      <c r="O596" s="75" t="s">
        <v>54</v>
      </c>
      <c r="P596" s="134" t="str">
        <f>IF(AND('331-CT'!$E$7=TH!H596,OR(N596="331",O596="331")),"x","")</f>
        <v/>
      </c>
    </row>
    <row r="597" spans="1:16" ht="18" hidden="1" customHeight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122"/>
      <c r="J597" s="122"/>
      <c r="K597" s="122"/>
      <c r="L597" s="122"/>
      <c r="M597" s="74">
        <v>3127345</v>
      </c>
      <c r="N597" s="75" t="s">
        <v>654</v>
      </c>
      <c r="O597" s="75" t="s">
        <v>203</v>
      </c>
      <c r="P597" s="134" t="str">
        <f>IF(AND('331-CT'!$E$7=TH!H597,OR(N597="331",O597="331")),"x","")</f>
        <v/>
      </c>
    </row>
    <row r="598" spans="1:16" ht="18" hidden="1" customHeight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122"/>
      <c r="J598" s="122"/>
      <c r="K598" s="122"/>
      <c r="L598" s="122"/>
      <c r="M598" s="74">
        <v>312734</v>
      </c>
      <c r="N598" s="75" t="s">
        <v>19</v>
      </c>
      <c r="O598" s="75" t="s">
        <v>203</v>
      </c>
      <c r="P598" s="134" t="str">
        <f>IF(AND('331-CT'!$E$7=TH!H598,OR(N598="331",O598="331")),"x","")</f>
        <v/>
      </c>
    </row>
    <row r="599" spans="1:16" ht="18" hidden="1" customHeight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122"/>
      <c r="J599" s="122"/>
      <c r="K599" s="122"/>
      <c r="L599" s="122"/>
      <c r="M599" s="74">
        <v>9662500</v>
      </c>
      <c r="N599" s="75" t="s">
        <v>654</v>
      </c>
      <c r="O599" s="75" t="s">
        <v>203</v>
      </c>
      <c r="P599" s="134" t="str">
        <f>IF(AND('331-CT'!$E$7=TH!H599,OR(N599="331",O599="331")),"x","")</f>
        <v/>
      </c>
    </row>
    <row r="600" spans="1:16" ht="18" hidden="1" customHeight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122"/>
      <c r="J600" s="122"/>
      <c r="K600" s="122"/>
      <c r="L600" s="122"/>
      <c r="M600" s="74">
        <v>966250</v>
      </c>
      <c r="N600" s="75" t="s">
        <v>19</v>
      </c>
      <c r="O600" s="75" t="s">
        <v>203</v>
      </c>
      <c r="P600" s="134" t="str">
        <f>IF(AND('331-CT'!$E$7=TH!H600,OR(N600="331",O600="331")),"x","")</f>
        <v/>
      </c>
    </row>
    <row r="601" spans="1:16" ht="18" hidden="1" customHeight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9"/>
      <c r="J601" s="9"/>
      <c r="K601" s="9"/>
      <c r="L601" s="9"/>
      <c r="M601" s="74">
        <v>19645867</v>
      </c>
      <c r="N601" s="75" t="s">
        <v>654</v>
      </c>
      <c r="O601" s="75" t="s">
        <v>18</v>
      </c>
      <c r="P601" s="134" t="str">
        <f>IF(AND('331-CT'!$E$7=TH!H601,OR(N601="331",O601="331")),"x","")</f>
        <v/>
      </c>
    </row>
    <row r="602" spans="1:16" ht="18" hidden="1" customHeight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9"/>
      <c r="J602" s="9"/>
      <c r="K602" s="9"/>
      <c r="L602" s="9"/>
      <c r="M602" s="74">
        <v>1964587</v>
      </c>
      <c r="N602" s="75" t="s">
        <v>19</v>
      </c>
      <c r="O602" s="75" t="s">
        <v>18</v>
      </c>
      <c r="P602" s="134" t="str">
        <f>IF(AND('331-CT'!$E$7=TH!H602,OR(N602="331",O602="331")),"x","")</f>
        <v/>
      </c>
    </row>
    <row r="603" spans="1:16" ht="18" hidden="1" customHeight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122"/>
      <c r="J603" s="122"/>
      <c r="K603" s="122"/>
      <c r="L603" s="122"/>
      <c r="M603" s="74">
        <v>30000000</v>
      </c>
      <c r="N603" s="75" t="s">
        <v>54</v>
      </c>
      <c r="O603" s="75" t="s">
        <v>203</v>
      </c>
      <c r="P603" s="134" t="str">
        <f>IF(AND('331-CT'!$E$7=TH!H603,OR(N603="331",O603="331")),"x","")</f>
        <v/>
      </c>
    </row>
    <row r="604" spans="1:16" ht="18" hidden="1" customHeight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2"/>
      <c r="J604" s="132"/>
      <c r="K604" s="132"/>
      <c r="L604" s="132"/>
      <c r="M604" s="133">
        <v>2012800</v>
      </c>
      <c r="N604" s="134" t="s">
        <v>241</v>
      </c>
      <c r="O604" s="134" t="s">
        <v>203</v>
      </c>
      <c r="P604" s="134" t="str">
        <f>IF(AND('331-CT'!$E$7=TH!H604,OR(N604="331",O604="331")),"x","")</f>
        <v/>
      </c>
    </row>
    <row r="605" spans="1:16" ht="18" hidden="1" customHeight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132"/>
      <c r="J605" s="132"/>
      <c r="K605" s="132"/>
      <c r="L605" s="132"/>
      <c r="M605" s="74">
        <v>100640</v>
      </c>
      <c r="N605" s="75" t="s">
        <v>19</v>
      </c>
      <c r="O605" s="75" t="s">
        <v>203</v>
      </c>
      <c r="P605" s="134" t="str">
        <f>IF(AND('331-CT'!$E$7=TH!H605,OR(N605="331",O605="331")),"x","")</f>
        <v/>
      </c>
    </row>
    <row r="606" spans="1:16" ht="18" hidden="1" customHeight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122"/>
      <c r="J606" s="122"/>
      <c r="K606" s="122"/>
      <c r="L606" s="122"/>
      <c r="M606" s="74">
        <v>9662500</v>
      </c>
      <c r="N606" s="75" t="s">
        <v>654</v>
      </c>
      <c r="O606" s="75" t="s">
        <v>203</v>
      </c>
      <c r="P606" s="134" t="str">
        <f>IF(AND('331-CT'!$E$7=TH!H606,OR(N606="331",O606="331")),"x","")</f>
        <v/>
      </c>
    </row>
    <row r="607" spans="1:16" ht="18" hidden="1" customHeight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122"/>
      <c r="J607" s="122"/>
      <c r="K607" s="122"/>
      <c r="L607" s="122"/>
      <c r="M607" s="74">
        <v>966250</v>
      </c>
      <c r="N607" s="75" t="s">
        <v>19</v>
      </c>
      <c r="O607" s="75" t="s">
        <v>203</v>
      </c>
      <c r="P607" s="134" t="str">
        <f>IF(AND('331-CT'!$E$7=TH!H607,OR(N607="331",O607="331")),"x","")</f>
        <v/>
      </c>
    </row>
    <row r="608" spans="1:16" ht="18" hidden="1" customHeight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122"/>
      <c r="J608" s="122"/>
      <c r="K608" s="122"/>
      <c r="L608" s="122"/>
      <c r="M608" s="74">
        <v>1500000000</v>
      </c>
      <c r="N608" s="75" t="s">
        <v>54</v>
      </c>
      <c r="O608" s="75" t="s">
        <v>227</v>
      </c>
      <c r="P608" s="134" t="str">
        <f>IF(AND('331-CT'!$E$7=TH!H608,OR(N608="331",O608="331")),"x","")</f>
        <v/>
      </c>
    </row>
    <row r="609" spans="1:16" ht="18" customHeight="1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9"/>
      <c r="J609" s="9"/>
      <c r="K609" s="9"/>
      <c r="L609" s="9"/>
      <c r="M609" s="74">
        <v>200000000</v>
      </c>
      <c r="N609" s="75" t="s">
        <v>18</v>
      </c>
      <c r="O609" s="75" t="s">
        <v>54</v>
      </c>
      <c r="P609" s="134" t="str">
        <f>IF(AND('331-CT'!$E$7=TH!H609,OR(N609="331",O609="331")),"x","")</f>
        <v/>
      </c>
    </row>
    <row r="610" spans="1:16" ht="18" hidden="1" customHeight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122"/>
      <c r="J610" s="122"/>
      <c r="K610" s="122"/>
      <c r="L610" s="122"/>
      <c r="M610" s="74">
        <v>60000</v>
      </c>
      <c r="N610" s="75" t="s">
        <v>241</v>
      </c>
      <c r="O610" s="75" t="s">
        <v>54</v>
      </c>
      <c r="P610" s="134" t="str">
        <f>IF(AND('331-CT'!$E$7=TH!H610,OR(N610="331",O610="331")),"x","")</f>
        <v/>
      </c>
    </row>
    <row r="611" spans="1:16" ht="18" hidden="1" customHeight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122"/>
      <c r="J611" s="122"/>
      <c r="K611" s="122"/>
      <c r="L611" s="122"/>
      <c r="M611" s="74">
        <v>6000</v>
      </c>
      <c r="N611" s="75" t="s">
        <v>19</v>
      </c>
      <c r="O611" s="75" t="s">
        <v>54</v>
      </c>
      <c r="P611" s="134" t="str">
        <f>IF(AND('331-CT'!$E$7=TH!H611,OR(N611="331",O611="331")),"x","")</f>
        <v/>
      </c>
    </row>
    <row r="612" spans="1:16" ht="18" hidden="1" customHeight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122"/>
      <c r="J612" s="122"/>
      <c r="K612" s="122"/>
      <c r="L612" s="122"/>
      <c r="M612" s="74">
        <v>1000000000</v>
      </c>
      <c r="N612" s="75" t="s">
        <v>18</v>
      </c>
      <c r="O612" s="75" t="s">
        <v>54</v>
      </c>
      <c r="P612" s="134" t="str">
        <f>IF(AND('331-CT'!$E$7=TH!H612,OR(N612="331",O612="331")),"x","")</f>
        <v/>
      </c>
    </row>
    <row r="613" spans="1:16" ht="18" hidden="1" customHeight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122"/>
      <c r="J613" s="122"/>
      <c r="K613" s="122"/>
      <c r="L613" s="122"/>
      <c r="M613" s="74">
        <v>500000</v>
      </c>
      <c r="N613" s="75" t="s">
        <v>241</v>
      </c>
      <c r="O613" s="75" t="s">
        <v>54</v>
      </c>
      <c r="P613" s="134" t="str">
        <f>IF(AND('331-CT'!$E$7=TH!H613,OR(N613="331",O613="331")),"x","")</f>
        <v/>
      </c>
    </row>
    <row r="614" spans="1:16" ht="18" hidden="1" customHeight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122"/>
      <c r="J614" s="122"/>
      <c r="K614" s="122"/>
      <c r="L614" s="122"/>
      <c r="M614" s="74">
        <v>50000</v>
      </c>
      <c r="N614" s="75" t="s">
        <v>19</v>
      </c>
      <c r="O614" s="75" t="s">
        <v>54</v>
      </c>
      <c r="P614" s="134" t="str">
        <f>IF(AND('331-CT'!$E$7=TH!H614,OR(N614="331",O614="331")),"x","")</f>
        <v/>
      </c>
    </row>
    <row r="615" spans="1:16" ht="18" hidden="1" customHeight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122"/>
      <c r="J615" s="122"/>
      <c r="K615" s="122"/>
      <c r="L615" s="122"/>
      <c r="M615" s="74">
        <v>909090909</v>
      </c>
      <c r="N615" s="136" t="s">
        <v>654</v>
      </c>
      <c r="O615" s="75" t="s">
        <v>18</v>
      </c>
      <c r="P615" s="134" t="str">
        <f>IF(AND('331-CT'!$E$7=TH!H615,OR(N615="331",O615="331")),"x","")</f>
        <v/>
      </c>
    </row>
    <row r="616" spans="1:16" ht="18" hidden="1" customHeight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122"/>
      <c r="J616" s="122"/>
      <c r="K616" s="122"/>
      <c r="L616" s="122"/>
      <c r="M616" s="74">
        <v>90909091</v>
      </c>
      <c r="N616" s="136" t="s">
        <v>19</v>
      </c>
      <c r="O616" s="75" t="s">
        <v>18</v>
      </c>
      <c r="P616" s="134" t="str">
        <f>IF(AND('331-CT'!$E$7=TH!H616,OR(N616="331",O616="331")),"x","")</f>
        <v/>
      </c>
    </row>
    <row r="617" spans="1:16" ht="18" hidden="1" customHeight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9"/>
      <c r="J617" s="9"/>
      <c r="K617" s="9"/>
      <c r="L617" s="9"/>
      <c r="M617" s="74">
        <v>250000000</v>
      </c>
      <c r="N617" s="75" t="s">
        <v>18</v>
      </c>
      <c r="O617" s="75" t="s">
        <v>54</v>
      </c>
      <c r="P617" s="134" t="str">
        <f>IF(AND('331-CT'!$E$7=TH!H617,OR(N617="331",O617="331")),"x","")</f>
        <v/>
      </c>
    </row>
    <row r="618" spans="1:16" ht="18" hidden="1" customHeight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122"/>
      <c r="J618" s="122"/>
      <c r="K618" s="122"/>
      <c r="L618" s="122"/>
      <c r="M618" s="74">
        <v>125000</v>
      </c>
      <c r="N618" s="75" t="s">
        <v>241</v>
      </c>
      <c r="O618" s="75" t="s">
        <v>54</v>
      </c>
      <c r="P618" s="134" t="str">
        <f>IF(AND('331-CT'!$E$7=TH!H618,OR(N618="331",O618="331")),"x","")</f>
        <v/>
      </c>
    </row>
    <row r="619" spans="1:16" ht="18" hidden="1" customHeight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122"/>
      <c r="J619" s="122"/>
      <c r="K619" s="122"/>
      <c r="L619" s="122"/>
      <c r="M619" s="74">
        <v>12500</v>
      </c>
      <c r="N619" s="75" t="s">
        <v>19</v>
      </c>
      <c r="O619" s="75" t="s">
        <v>54</v>
      </c>
      <c r="P619" s="134" t="str">
        <f>IF(AND('331-CT'!$E$7=TH!H619,OR(N619="331",O619="331")),"x","")</f>
        <v/>
      </c>
    </row>
    <row r="620" spans="1:16" ht="18" hidden="1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9"/>
      <c r="J620" s="9"/>
      <c r="K620" s="9"/>
      <c r="L620" s="9"/>
      <c r="M620" s="74">
        <v>21610454</v>
      </c>
      <c r="N620" s="75" t="s">
        <v>18</v>
      </c>
      <c r="O620" s="75" t="s">
        <v>54</v>
      </c>
      <c r="P620" s="134" t="str">
        <f>IF(AND('331-CT'!$E$7=TH!H620,OR(N620="331",O620="331")),"x","")</f>
        <v/>
      </c>
    </row>
    <row r="621" spans="1:16" ht="18" hidden="1" customHeight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122"/>
      <c r="J621" s="122"/>
      <c r="K621" s="122"/>
      <c r="L621" s="122"/>
      <c r="M621" s="74">
        <v>500000000</v>
      </c>
      <c r="N621" s="75" t="s">
        <v>54</v>
      </c>
      <c r="O621" s="75" t="s">
        <v>203</v>
      </c>
      <c r="P621" s="134" t="str">
        <f>IF(AND('331-CT'!$E$7=TH!H621,OR(N621="331",O621="331")),"x","")</f>
        <v/>
      </c>
    </row>
    <row r="622" spans="1:16" ht="18" hidden="1" customHeight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122"/>
      <c r="J622" s="122"/>
      <c r="K622" s="122"/>
      <c r="L622" s="122"/>
      <c r="M622" s="74">
        <v>2400000</v>
      </c>
      <c r="N622" s="75" t="s">
        <v>654</v>
      </c>
      <c r="O622" s="75" t="s">
        <v>203</v>
      </c>
      <c r="P622" s="134" t="str">
        <f>IF(AND('331-CT'!$E$7=TH!H622,OR(N622="331",O622="331")),"x","")</f>
        <v/>
      </c>
    </row>
    <row r="623" spans="1:16" ht="18" hidden="1" customHeight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122"/>
      <c r="J623" s="122"/>
      <c r="K623" s="122"/>
      <c r="L623" s="122"/>
      <c r="M623" s="74">
        <v>38267</v>
      </c>
      <c r="N623" s="75" t="s">
        <v>241</v>
      </c>
      <c r="O623" s="75" t="s">
        <v>203</v>
      </c>
      <c r="P623" s="134" t="str">
        <f>IF(AND('331-CT'!$E$7=TH!H623,OR(N623="331",O623="331")),"x","")</f>
        <v/>
      </c>
    </row>
    <row r="624" spans="1:16" ht="18" hidden="1" customHeight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122"/>
      <c r="J624" s="122"/>
      <c r="K624" s="122"/>
      <c r="L624" s="122"/>
      <c r="M624" s="74">
        <v>3827</v>
      </c>
      <c r="N624" s="75" t="s">
        <v>19</v>
      </c>
      <c r="O624" s="75" t="s">
        <v>203</v>
      </c>
      <c r="P624" s="134" t="str">
        <f>IF(AND('331-CT'!$E$7=TH!H624,OR(N624="331",O624="331")),"x","")</f>
        <v/>
      </c>
    </row>
    <row r="625" spans="1:16" ht="18" hidden="1" customHeight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122"/>
      <c r="J625" s="122"/>
      <c r="K625" s="122"/>
      <c r="L625" s="122"/>
      <c r="M625" s="74">
        <v>15300</v>
      </c>
      <c r="N625" s="75" t="s">
        <v>241</v>
      </c>
      <c r="O625" s="75" t="s">
        <v>203</v>
      </c>
      <c r="P625" s="134" t="str">
        <f>IF(AND('331-CT'!$E$7=TH!H625,OR(N625="331",O625="331")),"x","")</f>
        <v/>
      </c>
    </row>
    <row r="626" spans="1:16" ht="18" hidden="1" customHeight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122"/>
      <c r="J626" s="122"/>
      <c r="K626" s="122"/>
      <c r="L626" s="122"/>
      <c r="M626" s="74">
        <v>1530</v>
      </c>
      <c r="N626" s="75" t="s">
        <v>19</v>
      </c>
      <c r="O626" s="75" t="s">
        <v>203</v>
      </c>
      <c r="P626" s="134" t="str">
        <f>IF(AND('331-CT'!$E$7=TH!H626,OR(N626="331",O626="331")),"x","")</f>
        <v/>
      </c>
    </row>
    <row r="627" spans="1:16" ht="18" hidden="1" customHeight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122"/>
      <c r="J627" s="122"/>
      <c r="K627" s="122"/>
      <c r="L627" s="122"/>
      <c r="M627" s="74">
        <v>133000</v>
      </c>
      <c r="N627" s="75" t="s">
        <v>241</v>
      </c>
      <c r="O627" s="75" t="s">
        <v>203</v>
      </c>
      <c r="P627" s="134" t="str">
        <f>IF(AND('331-CT'!$E$7=TH!H627,OR(N627="331",O627="331")),"x","")</f>
        <v/>
      </c>
    </row>
    <row r="628" spans="1:16" ht="18" hidden="1" customHeight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122"/>
      <c r="J628" s="122"/>
      <c r="K628" s="122"/>
      <c r="L628" s="122"/>
      <c r="M628" s="74">
        <v>13300</v>
      </c>
      <c r="N628" s="75" t="s">
        <v>19</v>
      </c>
      <c r="O628" s="75" t="s">
        <v>203</v>
      </c>
      <c r="P628" s="134" t="str">
        <f>IF(AND('331-CT'!$E$7=TH!H628,OR(N628="331",O628="331")),"x","")</f>
        <v/>
      </c>
    </row>
    <row r="629" spans="1:16" ht="18" hidden="1" customHeight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9"/>
      <c r="J629" s="9"/>
      <c r="K629" s="9"/>
      <c r="L629" s="9"/>
      <c r="M629" s="74">
        <v>136478605</v>
      </c>
      <c r="N629" s="75" t="s">
        <v>654</v>
      </c>
      <c r="O629" s="75" t="s">
        <v>18</v>
      </c>
      <c r="P629" s="134" t="str">
        <f>IF(AND('331-CT'!$E$7=TH!H629,OR(N629="331",O629="331")),"x","")</f>
        <v/>
      </c>
    </row>
    <row r="630" spans="1:16" ht="18" hidden="1" customHeight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9"/>
      <c r="J630" s="9"/>
      <c r="K630" s="9"/>
      <c r="L630" s="9"/>
      <c r="M630" s="74">
        <v>13647861</v>
      </c>
      <c r="N630" s="75" t="s">
        <v>19</v>
      </c>
      <c r="O630" s="75" t="s">
        <v>18</v>
      </c>
      <c r="P630" s="134" t="str">
        <f>IF(AND('331-CT'!$E$7=TH!H630,OR(N630="331",O630="331")),"x","")</f>
        <v/>
      </c>
    </row>
    <row r="631" spans="1:16" ht="18" hidden="1" customHeight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9"/>
      <c r="J631" s="9"/>
      <c r="K631" s="9"/>
      <c r="L631" s="9"/>
      <c r="M631" s="74">
        <v>327600</v>
      </c>
      <c r="N631" s="75" t="s">
        <v>241</v>
      </c>
      <c r="O631" s="75" t="s">
        <v>18</v>
      </c>
      <c r="P631" s="134" t="str">
        <f>IF(AND('331-CT'!$E$7=TH!H631,OR(N631="331",O631="331")),"x","")</f>
        <v/>
      </c>
    </row>
    <row r="632" spans="1:16" ht="18" hidden="1" customHeight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122"/>
      <c r="J632" s="122"/>
      <c r="K632" s="122"/>
      <c r="L632" s="122"/>
      <c r="M632" s="74">
        <v>105126466</v>
      </c>
      <c r="N632" s="75" t="s">
        <v>212</v>
      </c>
      <c r="O632" s="75" t="s">
        <v>54</v>
      </c>
      <c r="P632" s="134" t="str">
        <f>IF(AND('331-CT'!$E$7=TH!H632,OR(N632="331",O632="331")),"x","")</f>
        <v/>
      </c>
    </row>
    <row r="633" spans="1:16" ht="18" hidden="1" customHeight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122"/>
      <c r="J633" s="122"/>
      <c r="K633" s="122"/>
      <c r="L633" s="122"/>
      <c r="M633" s="74">
        <v>327600</v>
      </c>
      <c r="N633" s="75" t="s">
        <v>241</v>
      </c>
      <c r="O633" s="75" t="s">
        <v>54</v>
      </c>
      <c r="P633" s="134" t="str">
        <f>IF(AND('331-CT'!$E$7=TH!H633,OR(N633="331",O633="331")),"x","")</f>
        <v/>
      </c>
    </row>
    <row r="634" spans="1:16" ht="18" hidden="1" customHeight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9"/>
      <c r="J634" s="9"/>
      <c r="K634" s="9"/>
      <c r="L634" s="9"/>
      <c r="M634" s="74">
        <v>105454066</v>
      </c>
      <c r="N634" s="75" t="s">
        <v>18</v>
      </c>
      <c r="O634" s="75" t="s">
        <v>54</v>
      </c>
      <c r="P634" s="134" t="str">
        <f>IF(AND('331-CT'!$E$7=TH!H634,OR(N634="331",O634="331")),"x","")</f>
        <v/>
      </c>
    </row>
    <row r="635" spans="1:16" ht="18" hidden="1" customHeight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9"/>
      <c r="J635" s="9"/>
      <c r="K635" s="9"/>
      <c r="L635" s="9"/>
      <c r="M635" s="74">
        <v>31636</v>
      </c>
      <c r="N635" s="75" t="s">
        <v>241</v>
      </c>
      <c r="O635" s="75" t="s">
        <v>54</v>
      </c>
      <c r="P635" s="134" t="str">
        <f>IF(AND('331-CT'!$E$7=TH!H635,OR(N635="331",O635="331")),"x","")</f>
        <v/>
      </c>
    </row>
    <row r="636" spans="1:16" ht="18" hidden="1" customHeight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9"/>
      <c r="J636" s="9"/>
      <c r="K636" s="9"/>
      <c r="L636" s="9"/>
      <c r="M636" s="74">
        <v>3164</v>
      </c>
      <c r="N636" s="75" t="s">
        <v>19</v>
      </c>
      <c r="O636" s="75" t="s">
        <v>54</v>
      </c>
      <c r="P636" s="134" t="str">
        <f>IF(AND('331-CT'!$E$7=TH!H636,OR(N636="331",O636="331")),"x","")</f>
        <v/>
      </c>
    </row>
    <row r="637" spans="1:16" ht="18" hidden="1" customHeight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9"/>
      <c r="J637" s="9"/>
      <c r="K637" s="9"/>
      <c r="L637" s="9"/>
      <c r="M637" s="74">
        <v>55297700</v>
      </c>
      <c r="N637" s="75" t="s">
        <v>18</v>
      </c>
      <c r="O637" s="75" t="s">
        <v>54</v>
      </c>
      <c r="P637" s="134" t="str">
        <f>IF(AND('331-CT'!$E$7=TH!H637,OR(N637="331",O637="331")),"x","")</f>
        <v/>
      </c>
    </row>
    <row r="638" spans="1:16" ht="18" hidden="1" customHeight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122"/>
      <c r="J638" s="122"/>
      <c r="K638" s="122"/>
      <c r="L638" s="122"/>
      <c r="M638" s="74">
        <v>20000</v>
      </c>
      <c r="N638" s="75" t="s">
        <v>241</v>
      </c>
      <c r="O638" s="75" t="s">
        <v>54</v>
      </c>
      <c r="P638" s="134" t="str">
        <f>IF(AND('331-CT'!$E$7=TH!H638,OR(N638="331",O638="331")),"x","")</f>
        <v/>
      </c>
    </row>
    <row r="639" spans="1:16" ht="18" hidden="1" customHeight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122"/>
      <c r="J639" s="122"/>
      <c r="K639" s="122"/>
      <c r="L639" s="122"/>
      <c r="M639" s="74">
        <v>2000</v>
      </c>
      <c r="N639" s="75" t="s">
        <v>19</v>
      </c>
      <c r="O639" s="75" t="s">
        <v>54</v>
      </c>
      <c r="P639" s="134" t="str">
        <f>IF(AND('331-CT'!$E$7=TH!H639,OR(N639="331",O639="331")),"x","")</f>
        <v/>
      </c>
    </row>
    <row r="640" spans="1:16" ht="18" hidden="1" customHeight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122"/>
      <c r="J640" s="122"/>
      <c r="K640" s="122"/>
      <c r="L640" s="122"/>
      <c r="M640" s="74">
        <v>1500000000</v>
      </c>
      <c r="N640" s="75" t="s">
        <v>54</v>
      </c>
      <c r="O640" s="75" t="s">
        <v>227</v>
      </c>
      <c r="P640" s="134" t="str">
        <f>IF(AND('331-CT'!$E$7=TH!H640,OR(N640="331",O640="331")),"x","")</f>
        <v/>
      </c>
    </row>
    <row r="641" spans="1:16" ht="18" hidden="1" customHeight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9"/>
      <c r="J641" s="9"/>
      <c r="K641" s="9"/>
      <c r="L641" s="9"/>
      <c r="M641" s="74">
        <v>500000000</v>
      </c>
      <c r="N641" s="75" t="s">
        <v>18</v>
      </c>
      <c r="O641" s="75" t="s">
        <v>54</v>
      </c>
      <c r="P641" s="134" t="str">
        <f>IF(AND('331-CT'!$E$7=TH!H641,OR(N641="331",O641="331")),"x","")</f>
        <v>x</v>
      </c>
    </row>
    <row r="642" spans="1:16" ht="18" hidden="1" customHeight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122"/>
      <c r="J642" s="122"/>
      <c r="K642" s="122"/>
      <c r="L642" s="122"/>
      <c r="M642" s="74">
        <v>250000</v>
      </c>
      <c r="N642" s="75" t="s">
        <v>241</v>
      </c>
      <c r="O642" s="75" t="s">
        <v>54</v>
      </c>
      <c r="P642" s="134" t="str">
        <f>IF(AND('331-CT'!$E$7=TH!H642,OR(N642="331",O642="331")),"x","")</f>
        <v/>
      </c>
    </row>
    <row r="643" spans="1:16" ht="18" hidden="1" customHeight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122"/>
      <c r="J643" s="122"/>
      <c r="K643" s="122"/>
      <c r="L643" s="122"/>
      <c r="M643" s="74">
        <v>25000</v>
      </c>
      <c r="N643" s="75" t="s">
        <v>19</v>
      </c>
      <c r="O643" s="75" t="s">
        <v>54</v>
      </c>
      <c r="P643" s="134" t="str">
        <f>IF(AND('331-CT'!$E$7=TH!H643,OR(N643="331",O643="331")),"x","")</f>
        <v/>
      </c>
    </row>
    <row r="644" spans="1:16" ht="18" hidden="1" customHeight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9"/>
      <c r="J644" s="9"/>
      <c r="K644" s="9"/>
      <c r="L644" s="9"/>
      <c r="M644" s="74">
        <v>100000000</v>
      </c>
      <c r="N644" s="75" t="s">
        <v>18</v>
      </c>
      <c r="O644" s="75" t="s">
        <v>54</v>
      </c>
      <c r="P644" s="134" t="str">
        <f>IF(AND('331-CT'!$E$7=TH!H644,OR(N644="331",O644="331")),"x","")</f>
        <v/>
      </c>
    </row>
    <row r="645" spans="1:16" ht="18" hidden="1" customHeight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122"/>
      <c r="J645" s="122"/>
      <c r="K645" s="122"/>
      <c r="L645" s="122"/>
      <c r="M645" s="74">
        <v>50000</v>
      </c>
      <c r="N645" s="75" t="s">
        <v>241</v>
      </c>
      <c r="O645" s="75" t="s">
        <v>54</v>
      </c>
      <c r="P645" s="134" t="str">
        <f>IF(AND('331-CT'!$E$7=TH!H645,OR(N645="331",O645="331")),"x","")</f>
        <v/>
      </c>
    </row>
    <row r="646" spans="1:16" ht="18" hidden="1" customHeight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122"/>
      <c r="J646" s="122"/>
      <c r="K646" s="122"/>
      <c r="L646" s="122"/>
      <c r="M646" s="74">
        <v>5000</v>
      </c>
      <c r="N646" s="75" t="s">
        <v>19</v>
      </c>
      <c r="O646" s="75" t="s">
        <v>54</v>
      </c>
      <c r="P646" s="134" t="str">
        <f>IF(AND('331-CT'!$E$7=TH!H646,OR(N646="331",O646="331")),"x","")</f>
        <v/>
      </c>
    </row>
    <row r="647" spans="1:16" ht="18" hidden="1" customHeight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9"/>
      <c r="J647" s="9"/>
      <c r="K647" s="9"/>
      <c r="L647" s="9"/>
      <c r="M647" s="74">
        <v>500000000</v>
      </c>
      <c r="N647" s="75" t="s">
        <v>18</v>
      </c>
      <c r="O647" s="75" t="s">
        <v>54</v>
      </c>
      <c r="P647" s="134" t="str">
        <f>IF(AND('331-CT'!$E$7=TH!H647,OR(N647="331",O647="331")),"x","")</f>
        <v/>
      </c>
    </row>
    <row r="648" spans="1:16" ht="18" hidden="1" customHeight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122"/>
      <c r="J648" s="122"/>
      <c r="K648" s="122"/>
      <c r="L648" s="122"/>
      <c r="M648" s="74">
        <v>150000</v>
      </c>
      <c r="N648" s="75" t="s">
        <v>241</v>
      </c>
      <c r="O648" s="75" t="s">
        <v>54</v>
      </c>
      <c r="P648" s="134" t="str">
        <f>IF(AND('331-CT'!$E$7=TH!H648,OR(N648="331",O648="331")),"x","")</f>
        <v/>
      </c>
    </row>
    <row r="649" spans="1:16" ht="18" hidden="1" customHeight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122"/>
      <c r="J649" s="122"/>
      <c r="K649" s="122"/>
      <c r="L649" s="122"/>
      <c r="M649" s="74">
        <v>15000</v>
      </c>
      <c r="N649" s="75" t="s">
        <v>19</v>
      </c>
      <c r="O649" s="75" t="s">
        <v>54</v>
      </c>
      <c r="P649" s="134" t="str">
        <f>IF(AND('331-CT'!$E$7=TH!H649,OR(N649="331",O649="331")),"x","")</f>
        <v/>
      </c>
    </row>
    <row r="650" spans="1:16" ht="18" hidden="1" customHeight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9"/>
      <c r="J650" s="9"/>
      <c r="K650" s="9"/>
      <c r="L650" s="9"/>
      <c r="M650" s="74">
        <v>400000000</v>
      </c>
      <c r="N650" s="75" t="s">
        <v>18</v>
      </c>
      <c r="O650" s="75" t="s">
        <v>54</v>
      </c>
      <c r="P650" s="134" t="str">
        <f>IF(AND('331-CT'!$E$7=TH!H650,OR(N650="331",O650="331")),"x","")</f>
        <v/>
      </c>
    </row>
    <row r="651" spans="1:16" ht="18" hidden="1" customHeight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122"/>
      <c r="J651" s="122"/>
      <c r="K651" s="122"/>
      <c r="L651" s="122"/>
      <c r="M651" s="74">
        <v>120000</v>
      </c>
      <c r="N651" s="75" t="s">
        <v>241</v>
      </c>
      <c r="O651" s="75" t="s">
        <v>54</v>
      </c>
      <c r="P651" s="134" t="str">
        <f>IF(AND('331-CT'!$E$7=TH!H651,OR(N651="331",O651="331")),"x","")</f>
        <v/>
      </c>
    </row>
    <row r="652" spans="1:16" ht="18" hidden="1" customHeight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122"/>
      <c r="J652" s="122"/>
      <c r="K652" s="122"/>
      <c r="L652" s="122"/>
      <c r="M652" s="74">
        <v>12000</v>
      </c>
      <c r="N652" s="75" t="s">
        <v>19</v>
      </c>
      <c r="O652" s="75" t="s">
        <v>54</v>
      </c>
      <c r="P652" s="134" t="str">
        <f>IF(AND('331-CT'!$E$7=TH!H652,OR(N652="331",O652="331")),"x","")</f>
        <v/>
      </c>
    </row>
    <row r="653" spans="1:16" ht="18" hidden="1" customHeight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122"/>
      <c r="J653" s="122"/>
      <c r="K653" s="122"/>
      <c r="L653" s="122"/>
      <c r="M653" s="74">
        <v>1200000</v>
      </c>
      <c r="N653" s="75" t="s">
        <v>654</v>
      </c>
      <c r="O653" s="75" t="s">
        <v>203</v>
      </c>
      <c r="P653" s="134" t="str">
        <f>IF(AND('331-CT'!$E$7=TH!H653,OR(N653="331",O653="331")),"x","")</f>
        <v/>
      </c>
    </row>
    <row r="654" spans="1:16" ht="18" hidden="1" customHeight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122"/>
      <c r="J654" s="122"/>
      <c r="K654" s="122"/>
      <c r="L654" s="122"/>
      <c r="M654" s="74">
        <v>93590909</v>
      </c>
      <c r="N654" s="75" t="s">
        <v>654</v>
      </c>
      <c r="O654" s="75" t="s">
        <v>18</v>
      </c>
      <c r="P654" s="134" t="str">
        <f>IF(AND('331-CT'!$E$7=TH!H654,OR(N654="331",O654="331")),"x","")</f>
        <v/>
      </c>
    </row>
    <row r="655" spans="1:16" ht="18" hidden="1" customHeight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122"/>
      <c r="J655" s="122"/>
      <c r="K655" s="122"/>
      <c r="L655" s="122"/>
      <c r="M655" s="74">
        <v>9359091</v>
      </c>
      <c r="N655" s="75" t="s">
        <v>19</v>
      </c>
      <c r="O655" s="75" t="s">
        <v>18</v>
      </c>
      <c r="P655" s="134" t="str">
        <f>IF(AND('331-CT'!$E$7=TH!H655,OR(N655="331",O655="331")),"x","")</f>
        <v/>
      </c>
    </row>
    <row r="656" spans="1:16" ht="18" hidden="1" customHeight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122"/>
      <c r="J656" s="122"/>
      <c r="K656" s="122"/>
      <c r="L656" s="122"/>
      <c r="M656" s="74">
        <v>171163636</v>
      </c>
      <c r="N656" s="75" t="s">
        <v>654</v>
      </c>
      <c r="O656" s="75" t="s">
        <v>18</v>
      </c>
      <c r="P656" s="134" t="str">
        <f>IF(AND('331-CT'!$E$7=TH!H656,OR(N656="331",O656="331")),"x","")</f>
        <v/>
      </c>
    </row>
    <row r="657" spans="1:16" ht="18" hidden="1" customHeight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122"/>
      <c r="J657" s="122"/>
      <c r="K657" s="122"/>
      <c r="L657" s="122"/>
      <c r="M657" s="74">
        <v>17116364</v>
      </c>
      <c r="N657" s="75" t="s">
        <v>19</v>
      </c>
      <c r="O657" s="75" t="s">
        <v>18</v>
      </c>
      <c r="P657" s="134" t="str">
        <f>IF(AND('331-CT'!$E$7=TH!H657,OR(N657="331",O657="331")),"x","")</f>
        <v/>
      </c>
    </row>
    <row r="658" spans="1:16" ht="18" hidden="1" customHeight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122"/>
      <c r="J658" s="122"/>
      <c r="K658" s="122"/>
      <c r="L658" s="122"/>
      <c r="M658" s="74">
        <v>7916667</v>
      </c>
      <c r="N658" s="75" t="s">
        <v>239</v>
      </c>
      <c r="O658" s="75" t="s">
        <v>54</v>
      </c>
      <c r="P658" s="134" t="str">
        <f>IF(AND('331-CT'!$E$7=TH!H658,OR(N658="331",O658="331")),"x","")</f>
        <v/>
      </c>
    </row>
    <row r="659" spans="1:16" ht="18" hidden="1" customHeight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122"/>
      <c r="J659" s="122"/>
      <c r="K659" s="122"/>
      <c r="L659" s="122"/>
      <c r="M659" s="74">
        <v>15833333</v>
      </c>
      <c r="N659" s="75" t="s">
        <v>239</v>
      </c>
      <c r="O659" s="75" t="s">
        <v>54</v>
      </c>
      <c r="P659" s="134" t="str">
        <f>IF(AND('331-CT'!$E$7=TH!H659,OR(N659="331",O659="331")),"x","")</f>
        <v/>
      </c>
    </row>
    <row r="660" spans="1:16" ht="18" hidden="1" customHeight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122"/>
      <c r="J660" s="122"/>
      <c r="K660" s="122"/>
      <c r="L660" s="122"/>
      <c r="M660" s="74">
        <v>12666667</v>
      </c>
      <c r="N660" s="75" t="s">
        <v>239</v>
      </c>
      <c r="O660" s="75" t="s">
        <v>54</v>
      </c>
      <c r="P660" s="134" t="str">
        <f>IF(AND('331-CT'!$E$7=TH!H660,OR(N660="331",O660="331")),"x","")</f>
        <v/>
      </c>
    </row>
    <row r="661" spans="1:16" ht="18" hidden="1" customHeight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122"/>
      <c r="J661" s="122"/>
      <c r="K661" s="122"/>
      <c r="L661" s="122"/>
      <c r="M661" s="74">
        <v>11875000</v>
      </c>
      <c r="N661" s="75" t="s">
        <v>239</v>
      </c>
      <c r="O661" s="75" t="s">
        <v>54</v>
      </c>
      <c r="P661" s="134" t="str">
        <f>IF(AND('331-CT'!$E$7=TH!H661,OR(N661="331",O661="331")),"x","")</f>
        <v/>
      </c>
    </row>
    <row r="662" spans="1:16" ht="18" hidden="1" customHeight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122"/>
      <c r="J662" s="122"/>
      <c r="K662" s="122"/>
      <c r="L662" s="122"/>
      <c r="M662" s="74">
        <v>7916667</v>
      </c>
      <c r="N662" s="75" t="s">
        <v>239</v>
      </c>
      <c r="O662" s="75" t="s">
        <v>54</v>
      </c>
      <c r="P662" s="134" t="str">
        <f>IF(AND('331-CT'!$E$7=TH!H662,OR(N662="331",O662="331")),"x","")</f>
        <v/>
      </c>
    </row>
    <row r="663" spans="1:16" ht="18" hidden="1" customHeight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123"/>
      <c r="J663" s="123"/>
      <c r="K663" s="123"/>
      <c r="L663" s="123"/>
      <c r="M663" s="74">
        <v>11875000</v>
      </c>
      <c r="N663" s="75" t="s">
        <v>239</v>
      </c>
      <c r="O663" s="75" t="s">
        <v>54</v>
      </c>
      <c r="P663" s="134" t="str">
        <f>IF(AND('331-CT'!$E$7=TH!H663,OR(N663="331",O663="331")),"x","")</f>
        <v/>
      </c>
    </row>
    <row r="664" spans="1:16" ht="18" hidden="1" customHeight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122"/>
      <c r="J664" s="122"/>
      <c r="K664" s="122"/>
      <c r="L664" s="122"/>
      <c r="M664" s="74">
        <v>15833333</v>
      </c>
      <c r="N664" s="75" t="s">
        <v>239</v>
      </c>
      <c r="O664" s="75" t="s">
        <v>54</v>
      </c>
      <c r="P664" s="134" t="str">
        <f>IF(AND('331-CT'!$E$7=TH!H664,OR(N664="331",O664="331")),"x","")</f>
        <v/>
      </c>
    </row>
    <row r="665" spans="1:16" ht="18" hidden="1" customHeight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122"/>
      <c r="J665" s="122"/>
      <c r="K665" s="122"/>
      <c r="L665" s="122"/>
      <c r="M665" s="74">
        <v>11083333</v>
      </c>
      <c r="N665" s="75" t="s">
        <v>239</v>
      </c>
      <c r="O665" s="75" t="s">
        <v>54</v>
      </c>
      <c r="P665" s="134" t="str">
        <f>IF(AND('331-CT'!$E$7=TH!H665,OR(N665="331",O665="331")),"x","")</f>
        <v/>
      </c>
    </row>
    <row r="666" spans="1:16" ht="18" hidden="1" customHeight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122"/>
      <c r="J666" s="122"/>
      <c r="K666" s="122"/>
      <c r="L666" s="122"/>
      <c r="M666" s="74">
        <v>11875000</v>
      </c>
      <c r="N666" s="75" t="s">
        <v>239</v>
      </c>
      <c r="O666" s="75" t="s">
        <v>54</v>
      </c>
      <c r="P666" s="134" t="str">
        <f>IF(AND('331-CT'!$E$7=TH!H666,OR(N666="331",O666="331")),"x","")</f>
        <v/>
      </c>
    </row>
    <row r="667" spans="1:16" ht="18" hidden="1" customHeight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122"/>
      <c r="J667" s="122"/>
      <c r="K667" s="122"/>
      <c r="L667" s="122"/>
      <c r="M667" s="74">
        <v>15833333</v>
      </c>
      <c r="N667" s="75" t="s">
        <v>239</v>
      </c>
      <c r="O667" s="75" t="s">
        <v>54</v>
      </c>
      <c r="P667" s="134" t="str">
        <f>IF(AND('331-CT'!$E$7=TH!H667,OR(N667="331",O667="331")),"x","")</f>
        <v/>
      </c>
    </row>
    <row r="668" spans="1:16" ht="18" hidden="1" customHeight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122"/>
      <c r="J668" s="122"/>
      <c r="K668" s="122"/>
      <c r="L668" s="122"/>
      <c r="M668" s="74">
        <v>500000000</v>
      </c>
      <c r="N668" s="75" t="s">
        <v>54</v>
      </c>
      <c r="O668" s="75" t="s">
        <v>203</v>
      </c>
      <c r="P668" s="134" t="str">
        <f>IF(AND('331-CT'!$E$7=TH!H668,OR(N668="331",O668="331")),"x","")</f>
        <v/>
      </c>
    </row>
    <row r="669" spans="1:16" ht="18" hidden="1" customHeight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122"/>
      <c r="J669" s="122"/>
      <c r="K669" s="122"/>
      <c r="L669" s="122"/>
      <c r="M669" s="74">
        <v>136384091</v>
      </c>
      <c r="N669" s="75" t="s">
        <v>654</v>
      </c>
      <c r="O669" s="75" t="s">
        <v>18</v>
      </c>
      <c r="P669" s="134" t="str">
        <f>IF(AND('331-CT'!$E$7=TH!H669,OR(N669="331",O669="331")),"x","")</f>
        <v/>
      </c>
    </row>
    <row r="670" spans="1:16" ht="18" hidden="1" customHeight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122"/>
      <c r="J670" s="122"/>
      <c r="K670" s="122"/>
      <c r="L670" s="122"/>
      <c r="M670" s="74">
        <v>13638409</v>
      </c>
      <c r="N670" s="75" t="s">
        <v>19</v>
      </c>
      <c r="O670" s="75" t="s">
        <v>18</v>
      </c>
      <c r="P670" s="134" t="str">
        <f>IF(AND('331-CT'!$E$7=TH!H670,OR(N670="331",O670="331")),"x","")</f>
        <v/>
      </c>
    </row>
    <row r="671" spans="1:16" ht="18" hidden="1" customHeight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122"/>
      <c r="J671" s="122"/>
      <c r="K671" s="122"/>
      <c r="L671" s="122"/>
      <c r="M671" s="74">
        <v>48236364</v>
      </c>
      <c r="N671" s="75" t="s">
        <v>654</v>
      </c>
      <c r="O671" s="75" t="s">
        <v>18</v>
      </c>
      <c r="P671" s="134" t="str">
        <f>IF(AND('331-CT'!$E$7=TH!H671,OR(N671="331",O671="331")),"x","")</f>
        <v/>
      </c>
    </row>
    <row r="672" spans="1:16" ht="18" hidden="1" customHeight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122"/>
      <c r="J672" s="122"/>
      <c r="K672" s="122"/>
      <c r="L672" s="122"/>
      <c r="M672" s="74">
        <v>4823636</v>
      </c>
      <c r="N672" s="75" t="s">
        <v>19</v>
      </c>
      <c r="O672" s="75" t="s">
        <v>18</v>
      </c>
      <c r="P672" s="134" t="str">
        <f>IF(AND('331-CT'!$E$7=TH!H672,OR(N672="331",O672="331")),"x","")</f>
        <v/>
      </c>
    </row>
    <row r="673" spans="1:16" ht="18" hidden="1" customHeight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122"/>
      <c r="J673" s="122"/>
      <c r="K673" s="122"/>
      <c r="L673" s="122"/>
      <c r="M673" s="74">
        <v>1275000</v>
      </c>
      <c r="N673" s="75" t="s">
        <v>19</v>
      </c>
      <c r="O673" s="75" t="s">
        <v>203</v>
      </c>
      <c r="P673" s="134" t="str">
        <f>IF(AND('331-CT'!$E$7=TH!H673,OR(N673="331",O673="331")),"x","")</f>
        <v/>
      </c>
    </row>
    <row r="674" spans="1:16" ht="18" hidden="1" customHeight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122"/>
      <c r="J674" s="122"/>
      <c r="K674" s="122"/>
      <c r="L674" s="122"/>
      <c r="M674" s="74">
        <v>12750000</v>
      </c>
      <c r="N674" s="75" t="s">
        <v>654</v>
      </c>
      <c r="O674" s="75" t="s">
        <v>203</v>
      </c>
      <c r="P674" s="134" t="str">
        <f>IF(AND('331-CT'!$E$7=TH!H674,OR(N674="331",O674="331")),"x","")</f>
        <v/>
      </c>
    </row>
    <row r="675" spans="1:16" ht="18" hidden="1" customHeight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122"/>
      <c r="J675" s="122"/>
      <c r="K675" s="122"/>
      <c r="L675" s="122"/>
      <c r="M675" s="74">
        <v>90286944</v>
      </c>
      <c r="N675" s="75" t="s">
        <v>654</v>
      </c>
      <c r="O675" s="75" t="s">
        <v>18</v>
      </c>
      <c r="P675" s="134" t="str">
        <f>IF(AND('331-CT'!$E$7=TH!H675,OR(N675="331",O675="331")),"x","")</f>
        <v/>
      </c>
    </row>
    <row r="676" spans="1:16" ht="18" hidden="1" customHeight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122"/>
      <c r="J676" s="122"/>
      <c r="K676" s="122"/>
      <c r="L676" s="122"/>
      <c r="M676" s="74">
        <v>9028694</v>
      </c>
      <c r="N676" s="75" t="s">
        <v>19</v>
      </c>
      <c r="O676" s="75" t="s">
        <v>18</v>
      </c>
      <c r="P676" s="134" t="str">
        <f>IF(AND('331-CT'!$E$7=TH!H676,OR(N676="331",O676="331")),"x","")</f>
        <v/>
      </c>
    </row>
    <row r="677" spans="1:16" ht="18" hidden="1" customHeight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122"/>
      <c r="J677" s="122"/>
      <c r="K677" s="122"/>
      <c r="L677" s="122"/>
      <c r="M677" s="74">
        <v>141171</v>
      </c>
      <c r="N677" s="75" t="s">
        <v>54</v>
      </c>
      <c r="O677" s="75" t="s">
        <v>99</v>
      </c>
      <c r="P677" s="134" t="str">
        <f>IF(AND('331-CT'!$E$7=TH!H677,OR(N677="331",O677="331")),"x","")</f>
        <v/>
      </c>
    </row>
    <row r="678" spans="1:16" ht="18" hidden="1" customHeight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122"/>
      <c r="J678" s="122"/>
      <c r="K678" s="122"/>
      <c r="L678" s="122"/>
      <c r="M678" s="74">
        <v>300000000</v>
      </c>
      <c r="N678" s="75" t="s">
        <v>18</v>
      </c>
      <c r="O678" s="75" t="s">
        <v>54</v>
      </c>
      <c r="P678" s="134" t="str">
        <f>IF(AND('331-CT'!$E$7=TH!H678,OR(N678="331",O678="331")),"x","")</f>
        <v/>
      </c>
    </row>
    <row r="679" spans="1:16" ht="18" hidden="1" customHeight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122"/>
      <c r="J679" s="122"/>
      <c r="K679" s="122"/>
      <c r="L679" s="122"/>
      <c r="M679" s="74">
        <v>150000</v>
      </c>
      <c r="N679" s="75" t="s">
        <v>241</v>
      </c>
      <c r="O679" s="75" t="s">
        <v>54</v>
      </c>
      <c r="P679" s="134" t="str">
        <f>IF(AND('331-CT'!$E$7=TH!H679,OR(N679="331",O679="331")),"x","")</f>
        <v/>
      </c>
    </row>
    <row r="680" spans="1:16" ht="18" hidden="1" customHeight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122"/>
      <c r="J680" s="122"/>
      <c r="K680" s="122"/>
      <c r="L680" s="122"/>
      <c r="M680" s="74">
        <v>15000</v>
      </c>
      <c r="N680" s="75" t="s">
        <v>19</v>
      </c>
      <c r="O680" s="75" t="s">
        <v>54</v>
      </c>
      <c r="P680" s="134" t="str">
        <f>IF(AND('331-CT'!$E$7=TH!H680,OR(N680="331",O680="331")),"x","")</f>
        <v/>
      </c>
    </row>
    <row r="681" spans="1:16" ht="18" hidden="1" customHeight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122"/>
      <c r="J681" s="122"/>
      <c r="K681" s="122"/>
      <c r="L681" s="122"/>
      <c r="M681" s="74">
        <v>477767318</v>
      </c>
      <c r="N681" s="75" t="s">
        <v>654</v>
      </c>
      <c r="O681" s="75" t="s">
        <v>18</v>
      </c>
      <c r="P681" s="134" t="str">
        <f>IF(AND('331-CT'!$E$7=TH!H681,OR(N681="331",O681="331")),"x","")</f>
        <v/>
      </c>
    </row>
    <row r="682" spans="1:16" ht="18" hidden="1" customHeight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122"/>
      <c r="J682" s="122"/>
      <c r="K682" s="122"/>
      <c r="L682" s="122"/>
      <c r="M682" s="74">
        <v>47776731</v>
      </c>
      <c r="N682" s="75" t="s">
        <v>19</v>
      </c>
      <c r="O682" s="75" t="s">
        <v>18</v>
      </c>
      <c r="P682" s="134" t="str">
        <f>IF(AND('331-CT'!$E$7=TH!H682,OR(N682="331",O682="331")),"x","")</f>
        <v/>
      </c>
    </row>
    <row r="683" spans="1:16" ht="18" hidden="1" customHeight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122"/>
      <c r="J683" s="122"/>
      <c r="K683" s="122"/>
      <c r="L683" s="122"/>
      <c r="M683" s="74">
        <v>54892744</v>
      </c>
      <c r="N683" s="75" t="s">
        <v>654</v>
      </c>
      <c r="O683" s="75" t="s">
        <v>18</v>
      </c>
      <c r="P683" s="134" t="str">
        <f>IF(AND('331-CT'!$E$7=TH!H683,OR(N683="331",O683="331")),"x","")</f>
        <v/>
      </c>
    </row>
    <row r="684" spans="1:16" ht="18" hidden="1" customHeight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9"/>
      <c r="J684" s="9"/>
      <c r="K684" s="9"/>
      <c r="L684" s="9"/>
      <c r="M684" s="74">
        <v>5489274</v>
      </c>
      <c r="N684" s="75" t="s">
        <v>19</v>
      </c>
      <c r="O684" s="75" t="s">
        <v>18</v>
      </c>
      <c r="P684" s="134" t="str">
        <f>IF(AND('331-CT'!$E$7=TH!H684,OR(N684="331",O684="331")),"x","")</f>
        <v/>
      </c>
    </row>
    <row r="685" spans="1:16" ht="18" hidden="1" customHeight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122"/>
      <c r="J685" s="122"/>
      <c r="K685" s="122"/>
      <c r="L685" s="122"/>
      <c r="M685" s="74">
        <v>53060000</v>
      </c>
      <c r="N685" s="75" t="s">
        <v>18</v>
      </c>
      <c r="O685" s="75" t="s">
        <v>54</v>
      </c>
      <c r="P685" s="134" t="str">
        <f>IF(AND('331-CT'!$E$7=TH!H685,OR(N685="331",O685="331")),"x","")</f>
        <v/>
      </c>
    </row>
    <row r="686" spans="1:16" ht="18" hidden="1" customHeight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122"/>
      <c r="J686" s="122"/>
      <c r="K686" s="122"/>
      <c r="L686" s="122"/>
      <c r="M686" s="74">
        <v>20000</v>
      </c>
      <c r="N686" s="75" t="s">
        <v>241</v>
      </c>
      <c r="O686" s="75" t="s">
        <v>54</v>
      </c>
      <c r="P686" s="134" t="str">
        <f>IF(AND('331-CT'!$E$7=TH!H686,OR(N686="331",O686="331")),"x","")</f>
        <v/>
      </c>
    </row>
    <row r="687" spans="1:16" ht="18" hidden="1" customHeight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122"/>
      <c r="J687" s="122"/>
      <c r="K687" s="122"/>
      <c r="L687" s="122"/>
      <c r="M687" s="74">
        <v>2000</v>
      </c>
      <c r="N687" s="75" t="s">
        <v>19</v>
      </c>
      <c r="O687" s="75" t="s">
        <v>54</v>
      </c>
      <c r="P687" s="134" t="str">
        <f>IF(AND('331-CT'!$E$7=TH!H687,OR(N687="331",O687="331")),"x","")</f>
        <v/>
      </c>
    </row>
    <row r="688" spans="1:16" ht="18" hidden="1" customHeight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122"/>
      <c r="J688" s="122"/>
      <c r="K688" s="122"/>
      <c r="L688" s="122"/>
      <c r="M688" s="74">
        <v>90000000</v>
      </c>
      <c r="N688" s="75" t="s">
        <v>18</v>
      </c>
      <c r="O688" s="75" t="s">
        <v>54</v>
      </c>
      <c r="P688" s="134" t="str">
        <f>IF(AND('331-CT'!$E$7=TH!H688,OR(N688="331",O688="331")),"x","")</f>
        <v/>
      </c>
    </row>
    <row r="689" spans="1:16" ht="18" hidden="1" customHeight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122"/>
      <c r="J689" s="122"/>
      <c r="K689" s="122"/>
      <c r="L689" s="122"/>
      <c r="M689" s="74">
        <v>45000</v>
      </c>
      <c r="N689" s="75" t="s">
        <v>241</v>
      </c>
      <c r="O689" s="75" t="s">
        <v>54</v>
      </c>
      <c r="P689" s="134" t="str">
        <f>IF(AND('331-CT'!$E$7=TH!H689,OR(N689="331",O689="331")),"x","")</f>
        <v/>
      </c>
    </row>
    <row r="690" spans="1:16" ht="18" hidden="1" customHeight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122"/>
      <c r="J690" s="122"/>
      <c r="K690" s="122"/>
      <c r="L690" s="122"/>
      <c r="M690" s="74">
        <v>4500</v>
      </c>
      <c r="N690" s="75" t="s">
        <v>19</v>
      </c>
      <c r="O690" s="75" t="s">
        <v>54</v>
      </c>
      <c r="P690" s="134" t="str">
        <f>IF(AND('331-CT'!$E$7=TH!H690,OR(N690="331",O690="331")),"x","")</f>
        <v/>
      </c>
    </row>
    <row r="691" spans="1:16" ht="18" hidden="1" customHeight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122"/>
      <c r="J691" s="122"/>
      <c r="K691" s="122"/>
      <c r="L691" s="122"/>
      <c r="M691" s="74">
        <v>200000000</v>
      </c>
      <c r="N691" s="75" t="s">
        <v>18</v>
      </c>
      <c r="O691" s="75" t="s">
        <v>54</v>
      </c>
      <c r="P691" s="134" t="str">
        <f>IF(AND('331-CT'!$E$7=TH!H691,OR(N691="331",O691="331")),"x","")</f>
        <v/>
      </c>
    </row>
    <row r="692" spans="1:16" ht="18" hidden="1" customHeight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122"/>
      <c r="J692" s="122"/>
      <c r="K692" s="122"/>
      <c r="L692" s="122"/>
      <c r="M692" s="74">
        <v>100000</v>
      </c>
      <c r="N692" s="75" t="s">
        <v>241</v>
      </c>
      <c r="O692" s="75" t="s">
        <v>54</v>
      </c>
      <c r="P692" s="134" t="str">
        <f>IF(AND('331-CT'!$E$7=TH!H692,OR(N692="331",O692="331")),"x","")</f>
        <v/>
      </c>
    </row>
    <row r="693" spans="1:16" ht="18" hidden="1" customHeight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122"/>
      <c r="J693" s="122"/>
      <c r="K693" s="122"/>
      <c r="L693" s="122"/>
      <c r="M693" s="74">
        <v>10000</v>
      </c>
      <c r="N693" s="75" t="s">
        <v>19</v>
      </c>
      <c r="O693" s="75" t="s">
        <v>54</v>
      </c>
      <c r="P693" s="134" t="str">
        <f>IF(AND('331-CT'!$E$7=TH!H693,OR(N693="331",O693="331")),"x","")</f>
        <v/>
      </c>
    </row>
    <row r="694" spans="1:16" ht="18" hidden="1" customHeight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122"/>
      <c r="J694" s="122"/>
      <c r="K694" s="122"/>
      <c r="L694" s="122"/>
      <c r="M694" s="74">
        <v>500000</v>
      </c>
      <c r="N694" s="75" t="s">
        <v>54</v>
      </c>
      <c r="O694" s="75" t="s">
        <v>243</v>
      </c>
      <c r="P694" s="134" t="str">
        <f>IF(AND('331-CT'!$E$7=TH!H694,OR(N694="331",O694="331")),"x","")</f>
        <v/>
      </c>
    </row>
    <row r="695" spans="1:16" ht="18" hidden="1" customHeight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122"/>
      <c r="J695" s="122"/>
      <c r="K695" s="122"/>
      <c r="L695" s="122"/>
      <c r="M695" s="74">
        <v>1000000000</v>
      </c>
      <c r="N695" s="75" t="s">
        <v>54</v>
      </c>
      <c r="O695" s="75" t="s">
        <v>227</v>
      </c>
      <c r="P695" s="134" t="str">
        <f>IF(AND('331-CT'!$E$7=TH!H695,OR(N695="331",O695="331")),"x","")</f>
        <v/>
      </c>
    </row>
    <row r="696" spans="1:16" ht="18" hidden="1" customHeight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122"/>
      <c r="J696" s="122"/>
      <c r="K696" s="122"/>
      <c r="L696" s="122"/>
      <c r="M696" s="74">
        <v>1000000000</v>
      </c>
      <c r="N696" s="75" t="s">
        <v>203</v>
      </c>
      <c r="O696" s="75" t="s">
        <v>39</v>
      </c>
      <c r="P696" s="134" t="str">
        <f>IF(AND('331-CT'!$E$7=TH!H696,OR(N696="331",O696="331")),"x","")</f>
        <v/>
      </c>
    </row>
    <row r="697" spans="1:16" ht="18" hidden="1" customHeight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122"/>
      <c r="J697" s="122"/>
      <c r="K697" s="122"/>
      <c r="L697" s="122"/>
      <c r="M697" s="74">
        <v>105126466</v>
      </c>
      <c r="N697" s="75" t="s">
        <v>54</v>
      </c>
      <c r="O697" s="75" t="s">
        <v>212</v>
      </c>
      <c r="P697" s="134" t="str">
        <f>IF(AND('331-CT'!$E$7=TH!H697,OR(N697="331",O697="331")),"x","")</f>
        <v/>
      </c>
    </row>
    <row r="698" spans="1:16" ht="18" hidden="1" customHeight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122"/>
      <c r="J698" s="122"/>
      <c r="K698" s="122"/>
      <c r="L698" s="122"/>
      <c r="M698" s="74">
        <v>400000000</v>
      </c>
      <c r="N698" s="75" t="s">
        <v>18</v>
      </c>
      <c r="O698" s="75" t="s">
        <v>54</v>
      </c>
      <c r="P698" s="134" t="str">
        <f>IF(AND('331-CT'!$E$7=TH!H698,OR(N698="331",O698="331")),"x","")</f>
        <v/>
      </c>
    </row>
    <row r="699" spans="1:16" ht="18" hidden="1" customHeight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122"/>
      <c r="J699" s="122"/>
      <c r="K699" s="122"/>
      <c r="L699" s="122"/>
      <c r="M699" s="74">
        <v>150000</v>
      </c>
      <c r="N699" s="75" t="s">
        <v>241</v>
      </c>
      <c r="O699" s="75" t="s">
        <v>54</v>
      </c>
      <c r="P699" s="134" t="str">
        <f>IF(AND('331-CT'!$E$7=TH!H699,OR(N699="331",O699="331")),"x","")</f>
        <v/>
      </c>
    </row>
    <row r="700" spans="1:16" ht="18" hidden="1" customHeight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122"/>
      <c r="J700" s="122"/>
      <c r="K700" s="122"/>
      <c r="L700" s="122"/>
      <c r="M700" s="74">
        <v>15000</v>
      </c>
      <c r="N700" s="75" t="s">
        <v>19</v>
      </c>
      <c r="O700" s="75" t="s">
        <v>54</v>
      </c>
      <c r="P700" s="134" t="str">
        <f>IF(AND('331-CT'!$E$7=TH!H700,OR(N700="331",O700="331")),"x","")</f>
        <v/>
      </c>
    </row>
    <row r="701" spans="1:16" ht="18" hidden="1" customHeight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122"/>
      <c r="J701" s="122"/>
      <c r="K701" s="122"/>
      <c r="L701" s="122"/>
      <c r="M701" s="74">
        <v>300000000</v>
      </c>
      <c r="N701" s="75" t="s">
        <v>18</v>
      </c>
      <c r="O701" s="75" t="s">
        <v>54</v>
      </c>
      <c r="P701" s="134" t="str">
        <f>IF(AND('331-CT'!$E$7=TH!H701,OR(N701="331",O701="331")),"x","")</f>
        <v/>
      </c>
    </row>
    <row r="702" spans="1:16" ht="18" hidden="1" customHeight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122"/>
      <c r="J702" s="122"/>
      <c r="K702" s="122"/>
      <c r="L702" s="122"/>
      <c r="M702" s="74">
        <v>120000</v>
      </c>
      <c r="N702" s="75" t="s">
        <v>241</v>
      </c>
      <c r="O702" s="75" t="s">
        <v>54</v>
      </c>
      <c r="P702" s="134" t="str">
        <f>IF(AND('331-CT'!$E$7=TH!H702,OR(N702="331",O702="331")),"x","")</f>
        <v/>
      </c>
    </row>
    <row r="703" spans="1:16" ht="18" hidden="1" customHeight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122"/>
      <c r="J703" s="122"/>
      <c r="K703" s="122"/>
      <c r="L703" s="122"/>
      <c r="M703" s="74">
        <v>12000</v>
      </c>
      <c r="N703" s="75" t="s">
        <v>19</v>
      </c>
      <c r="O703" s="75" t="s">
        <v>54</v>
      </c>
      <c r="P703" s="134" t="str">
        <f>IF(AND('331-CT'!$E$7=TH!H703,OR(N703="331",O703="331")),"x","")</f>
        <v/>
      </c>
    </row>
    <row r="704" spans="1:16" ht="18" hidden="1" customHeight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122"/>
      <c r="J704" s="122"/>
      <c r="K704" s="122"/>
      <c r="L704" s="122"/>
      <c r="M704" s="74">
        <v>15450000</v>
      </c>
      <c r="N704" s="75" t="s">
        <v>654</v>
      </c>
      <c r="O704" s="75" t="s">
        <v>203</v>
      </c>
      <c r="P704" s="134" t="str">
        <f>IF(AND('331-CT'!$E$7=TH!H704,OR(N704="331",O704="331")),"x","")</f>
        <v/>
      </c>
    </row>
    <row r="705" spans="1:16" ht="18" hidden="1" customHeight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122"/>
      <c r="J705" s="122"/>
      <c r="K705" s="122"/>
      <c r="L705" s="122"/>
      <c r="M705" s="74">
        <v>1545000</v>
      </c>
      <c r="N705" s="75" t="s">
        <v>19</v>
      </c>
      <c r="O705" s="75" t="s">
        <v>203</v>
      </c>
      <c r="P705" s="134" t="str">
        <f>IF(AND('331-CT'!$E$7=TH!H705,OR(N705="331",O705="331")),"x","")</f>
        <v/>
      </c>
    </row>
    <row r="706" spans="1:16" ht="18" hidden="1" customHeight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122"/>
      <c r="J706" s="122"/>
      <c r="K706" s="122"/>
      <c r="L706" s="122"/>
      <c r="M706" s="74">
        <v>13500000</v>
      </c>
      <c r="N706" s="75" t="s">
        <v>654</v>
      </c>
      <c r="O706" s="75" t="s">
        <v>203</v>
      </c>
      <c r="P706" s="134" t="str">
        <f>IF(AND('331-CT'!$E$7=TH!H706,OR(N706="331",O706="331")),"x","")</f>
        <v/>
      </c>
    </row>
    <row r="707" spans="1:16" ht="18" hidden="1" customHeight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9"/>
      <c r="J707" s="9"/>
      <c r="K707" s="9"/>
      <c r="L707" s="9"/>
      <c r="M707" s="74">
        <v>1350000</v>
      </c>
      <c r="N707" s="75" t="s">
        <v>19</v>
      </c>
      <c r="O707" s="75" t="s">
        <v>203</v>
      </c>
      <c r="P707" s="134" t="str">
        <f>IF(AND('331-CT'!$E$7=TH!H707,OR(N707="331",O707="331")),"x","")</f>
        <v/>
      </c>
    </row>
    <row r="708" spans="1:16" ht="18" hidden="1" customHeight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122"/>
      <c r="J708" s="122"/>
      <c r="K708" s="122"/>
      <c r="L708" s="122"/>
      <c r="M708" s="74">
        <v>15450000</v>
      </c>
      <c r="N708" s="75" t="s">
        <v>654</v>
      </c>
      <c r="O708" s="75" t="s">
        <v>203</v>
      </c>
      <c r="P708" s="134" t="str">
        <f>IF(AND('331-CT'!$E$7=TH!H708,OR(N708="331",O708="331")),"x","")</f>
        <v/>
      </c>
    </row>
    <row r="709" spans="1:16" ht="18" hidden="1" customHeight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122"/>
      <c r="J709" s="122"/>
      <c r="K709" s="122"/>
      <c r="L709" s="122"/>
      <c r="M709" s="74">
        <v>1545000</v>
      </c>
      <c r="N709" s="75" t="s">
        <v>19</v>
      </c>
      <c r="O709" s="75" t="s">
        <v>203</v>
      </c>
      <c r="P709" s="134" t="str">
        <f>IF(AND('331-CT'!$E$7=TH!H709,OR(N709="331",O709="331")),"x","")</f>
        <v/>
      </c>
    </row>
    <row r="710" spans="1:16" ht="18" hidden="1" customHeight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9"/>
      <c r="J710" s="9"/>
      <c r="K710" s="9"/>
      <c r="L710" s="9"/>
      <c r="M710" s="74">
        <v>15450000</v>
      </c>
      <c r="N710" s="75" t="s">
        <v>654</v>
      </c>
      <c r="O710" s="75" t="s">
        <v>203</v>
      </c>
      <c r="P710" s="134" t="str">
        <f>IF(AND('331-CT'!$E$7=TH!H710,OR(N710="331",O710="331")),"x","")</f>
        <v/>
      </c>
    </row>
    <row r="711" spans="1:16" ht="18" hidden="1" customHeight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122"/>
      <c r="J711" s="122"/>
      <c r="K711" s="122"/>
      <c r="L711" s="122"/>
      <c r="M711" s="74">
        <v>1545000</v>
      </c>
      <c r="N711" s="75" t="s">
        <v>19</v>
      </c>
      <c r="O711" s="75" t="s">
        <v>203</v>
      </c>
      <c r="P711" s="134" t="str">
        <f>IF(AND('331-CT'!$E$7=TH!H711,OR(N711="331",O711="331")),"x","")</f>
        <v/>
      </c>
    </row>
    <row r="712" spans="1:16" ht="18" hidden="1" customHeight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122"/>
      <c r="J712" s="122"/>
      <c r="K712" s="122"/>
      <c r="L712" s="122"/>
      <c r="M712" s="74">
        <v>5150000</v>
      </c>
      <c r="N712" s="75" t="s">
        <v>654</v>
      </c>
      <c r="O712" s="75" t="s">
        <v>203</v>
      </c>
      <c r="P712" s="134" t="str">
        <f>IF(AND('331-CT'!$E$7=TH!H712,OR(N712="331",O712="331")),"x","")</f>
        <v/>
      </c>
    </row>
    <row r="713" spans="1:16" ht="18" hidden="1" customHeight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9"/>
      <c r="J713" s="9"/>
      <c r="K713" s="9"/>
      <c r="L713" s="9"/>
      <c r="M713" s="74">
        <v>515000</v>
      </c>
      <c r="N713" s="75" t="s">
        <v>19</v>
      </c>
      <c r="O713" s="75" t="s">
        <v>203</v>
      </c>
      <c r="P713" s="134" t="str">
        <f>IF(AND('331-CT'!$E$7=TH!H713,OR(N713="331",O713="331")),"x","")</f>
        <v/>
      </c>
    </row>
    <row r="714" spans="1:16" ht="18" hidden="1" customHeight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122"/>
      <c r="J714" s="122"/>
      <c r="K714" s="122"/>
      <c r="L714" s="122"/>
      <c r="M714" s="74">
        <v>50000000</v>
      </c>
      <c r="N714" s="75" t="s">
        <v>18</v>
      </c>
      <c r="O714" s="75" t="s">
        <v>54</v>
      </c>
      <c r="P714" s="134" t="str">
        <f>IF(AND('331-CT'!$E$7=TH!H714,OR(N714="331",O714="331")),"x","")</f>
        <v/>
      </c>
    </row>
    <row r="715" spans="1:16" ht="18" hidden="1" customHeight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122"/>
      <c r="J715" s="122"/>
      <c r="K715" s="122"/>
      <c r="L715" s="122"/>
      <c r="M715" s="74">
        <v>25000</v>
      </c>
      <c r="N715" s="75" t="s">
        <v>241</v>
      </c>
      <c r="O715" s="75" t="s">
        <v>54</v>
      </c>
      <c r="P715" s="134" t="str">
        <f>IF(AND('331-CT'!$E$7=TH!H715,OR(N715="331",O715="331")),"x","")</f>
        <v/>
      </c>
    </row>
    <row r="716" spans="1:16" ht="18" hidden="1" customHeight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122"/>
      <c r="J716" s="122"/>
      <c r="K716" s="122"/>
      <c r="L716" s="122"/>
      <c r="M716" s="74">
        <v>2500</v>
      </c>
      <c r="N716" s="75" t="s">
        <v>19</v>
      </c>
      <c r="O716" s="75" t="s">
        <v>54</v>
      </c>
      <c r="P716" s="134" t="str">
        <f>IF(AND('331-CT'!$E$7=TH!H716,OR(N716="331",O716="331")),"x","")</f>
        <v/>
      </c>
    </row>
    <row r="717" spans="1:16" ht="18" hidden="1" customHeight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122"/>
      <c r="J717" s="122"/>
      <c r="K717" s="122"/>
      <c r="L717" s="122"/>
      <c r="M717" s="74">
        <v>2000000000</v>
      </c>
      <c r="N717" s="75" t="s">
        <v>654</v>
      </c>
      <c r="O717" s="75" t="s">
        <v>18</v>
      </c>
      <c r="P717" s="134" t="str">
        <f>IF(AND('331-CT'!$E$7=TH!H717,OR(N717="331",O717="331")),"x","")</f>
        <v/>
      </c>
    </row>
    <row r="718" spans="1:16" ht="18" hidden="1" customHeight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2"/>
      <c r="J718" s="132"/>
      <c r="K718" s="132"/>
      <c r="L718" s="132"/>
      <c r="M718" s="133">
        <v>200000000</v>
      </c>
      <c r="N718" s="134" t="s">
        <v>19</v>
      </c>
      <c r="O718" s="134" t="s">
        <v>18</v>
      </c>
      <c r="P718" s="134" t="str">
        <f>IF(AND('331-CT'!$E$7=TH!H718,OR(N718="331",O718="331")),"x","")</f>
        <v/>
      </c>
    </row>
    <row r="719" spans="1:16" ht="18" hidden="1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122"/>
      <c r="J719" s="122"/>
      <c r="K719" s="122"/>
      <c r="L719" s="122"/>
      <c r="M719" s="74">
        <v>1000000000</v>
      </c>
      <c r="N719" s="75" t="s">
        <v>54</v>
      </c>
      <c r="O719" s="75" t="s">
        <v>227</v>
      </c>
      <c r="P719" s="134" t="str">
        <f>IF(AND('331-CT'!$E$7=TH!H719,OR(N719="331",O719="331")),"x","")</f>
        <v/>
      </c>
    </row>
    <row r="720" spans="1:16" ht="18" hidden="1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9"/>
      <c r="J720" s="9"/>
      <c r="K720" s="9"/>
      <c r="L720" s="9"/>
      <c r="M720" s="74">
        <v>30000000</v>
      </c>
      <c r="N720" s="75" t="s">
        <v>654</v>
      </c>
      <c r="O720" s="75" t="s">
        <v>18</v>
      </c>
      <c r="P720" s="134" t="str">
        <f>IF(AND('331-CT'!$E$7=TH!H720,OR(N720="331",O720="331")),"x","")</f>
        <v/>
      </c>
    </row>
    <row r="721" spans="1:16" ht="18" hidden="1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122"/>
      <c r="J721" s="122"/>
      <c r="K721" s="122"/>
      <c r="L721" s="122"/>
      <c r="M721" s="74">
        <v>3000000</v>
      </c>
      <c r="N721" s="75" t="s">
        <v>19</v>
      </c>
      <c r="O721" s="75" t="s">
        <v>18</v>
      </c>
      <c r="P721" s="134" t="str">
        <f>IF(AND('331-CT'!$E$7=TH!H721,OR(N721="331",O721="331")),"x","")</f>
        <v/>
      </c>
    </row>
    <row r="722" spans="1:16" ht="18" hidden="1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122"/>
      <c r="J722" s="122"/>
      <c r="K722" s="122"/>
      <c r="L722" s="122"/>
      <c r="M722" s="74">
        <v>545120000</v>
      </c>
      <c r="N722" s="75" t="s">
        <v>654</v>
      </c>
      <c r="O722" s="75" t="s">
        <v>18</v>
      </c>
      <c r="P722" s="134" t="str">
        <f>IF(AND('331-CT'!$E$7=TH!H722,OR(N722="331",O722="331")),"x","")</f>
        <v/>
      </c>
    </row>
    <row r="723" spans="1:16" ht="18" hidden="1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9"/>
      <c r="J723" s="9"/>
      <c r="K723" s="9"/>
      <c r="L723" s="9"/>
      <c r="M723" s="74">
        <v>54512000</v>
      </c>
      <c r="N723" s="75" t="s">
        <v>19</v>
      </c>
      <c r="O723" s="75" t="s">
        <v>18</v>
      </c>
      <c r="P723" s="134" t="str">
        <f>IF(AND('331-CT'!$E$7=TH!H723,OR(N723="331",O723="331")),"x","")</f>
        <v/>
      </c>
    </row>
    <row r="724" spans="1:16" ht="18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122"/>
      <c r="J724" s="122"/>
      <c r="K724" s="122"/>
      <c r="L724" s="122"/>
      <c r="M724" s="74">
        <v>500000000</v>
      </c>
      <c r="N724" s="75" t="s">
        <v>18</v>
      </c>
      <c r="O724" s="75" t="s">
        <v>54</v>
      </c>
      <c r="P724" s="134" t="str">
        <f>IF(AND('331-CT'!$E$7=TH!H724,OR(N724="331",O724="331")),"x","")</f>
        <v/>
      </c>
    </row>
    <row r="725" spans="1:16" s="224" customFormat="1" ht="18" hidden="1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122"/>
      <c r="J725" s="122"/>
      <c r="K725" s="122"/>
      <c r="L725" s="122"/>
      <c r="M725" s="74">
        <v>150000</v>
      </c>
      <c r="N725" s="75" t="s">
        <v>241</v>
      </c>
      <c r="O725" s="75" t="s">
        <v>54</v>
      </c>
      <c r="P725" s="134" t="str">
        <f>IF(AND('331-CT'!$E$7=TH!H725,OR(N725="331",O725="331")),"x","")</f>
        <v/>
      </c>
    </row>
    <row r="726" spans="1:16" ht="18" hidden="1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122"/>
      <c r="J726" s="122"/>
      <c r="K726" s="122"/>
      <c r="L726" s="122"/>
      <c r="M726" s="74">
        <v>15000</v>
      </c>
      <c r="N726" s="75" t="s">
        <v>19</v>
      </c>
      <c r="O726" s="75" t="s">
        <v>54</v>
      </c>
      <c r="P726" s="134" t="str">
        <f>IF(AND('331-CT'!$E$7=TH!H726,OR(N726="331",O726="331")),"x","")</f>
        <v/>
      </c>
    </row>
    <row r="727" spans="1:16" ht="18" hidden="1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122"/>
      <c r="J727" s="122"/>
      <c r="K727" s="122"/>
      <c r="L727" s="122"/>
      <c r="M727" s="74">
        <v>500000000</v>
      </c>
      <c r="N727" s="75" t="s">
        <v>54</v>
      </c>
      <c r="O727" s="75" t="s">
        <v>203</v>
      </c>
      <c r="P727" s="134" t="str">
        <f>IF(AND('331-CT'!$E$7=TH!H727,OR(N727="331",O727="331")),"x","")</f>
        <v/>
      </c>
    </row>
    <row r="728" spans="1:16" ht="18" hidden="1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122"/>
      <c r="J728" s="122"/>
      <c r="K728" s="122"/>
      <c r="L728" s="122"/>
      <c r="M728" s="74">
        <v>3660000</v>
      </c>
      <c r="N728" s="75" t="s">
        <v>654</v>
      </c>
      <c r="O728" s="75" t="s">
        <v>203</v>
      </c>
      <c r="P728" s="134" t="str">
        <f>IF(AND('331-CT'!$E$7=TH!H728,OR(N728="331",O728="331")),"x","")</f>
        <v/>
      </c>
    </row>
    <row r="729" spans="1:16" ht="18" hidden="1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122"/>
      <c r="J729" s="122"/>
      <c r="K729" s="122"/>
      <c r="L729" s="122"/>
      <c r="M729" s="74">
        <v>6636364</v>
      </c>
      <c r="N729" s="75" t="s">
        <v>654</v>
      </c>
      <c r="O729" s="75" t="s">
        <v>203</v>
      </c>
      <c r="P729" s="134" t="str">
        <f>IF(AND('331-CT'!$E$7=TH!H729,OR(N729="331",O729="331")),"x","")</f>
        <v/>
      </c>
    </row>
    <row r="730" spans="1:16" ht="18" hidden="1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122"/>
      <c r="J730" s="122"/>
      <c r="K730" s="122"/>
      <c r="L730" s="122"/>
      <c r="M730" s="74">
        <v>663636</v>
      </c>
      <c r="N730" s="75" t="s">
        <v>19</v>
      </c>
      <c r="O730" s="75" t="s">
        <v>203</v>
      </c>
      <c r="P730" s="134" t="str">
        <f>IF(AND('331-CT'!$E$7=TH!H730,OR(N730="331",O730="331")),"x","")</f>
        <v/>
      </c>
    </row>
    <row r="731" spans="1:16" ht="18" hidden="1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122"/>
      <c r="J731" s="122"/>
      <c r="K731" s="122"/>
      <c r="L731" s="122"/>
      <c r="M731" s="74">
        <v>4700000</v>
      </c>
      <c r="N731" s="75" t="s">
        <v>654</v>
      </c>
      <c r="O731" s="75" t="s">
        <v>203</v>
      </c>
      <c r="P731" s="134" t="str">
        <f>IF(AND('331-CT'!$E$7=TH!H731,OR(N731="331",O731="331")),"x","")</f>
        <v/>
      </c>
    </row>
    <row r="732" spans="1:16" ht="18" hidden="1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122"/>
      <c r="J732" s="122"/>
      <c r="K732" s="122"/>
      <c r="L732" s="122"/>
      <c r="M732" s="74">
        <v>8180556</v>
      </c>
      <c r="N732" s="75" t="s">
        <v>239</v>
      </c>
      <c r="O732" s="75" t="s">
        <v>54</v>
      </c>
      <c r="P732" s="134" t="str">
        <f>IF(AND('331-CT'!$E$7=TH!H732,OR(N732="331",O732="331")),"x","")</f>
        <v/>
      </c>
    </row>
    <row r="733" spans="1:16" ht="18" hidden="1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122"/>
      <c r="J733" s="122"/>
      <c r="K733" s="122"/>
      <c r="L733" s="122"/>
      <c r="M733" s="74">
        <v>16361111</v>
      </c>
      <c r="N733" s="75" t="s">
        <v>239</v>
      </c>
      <c r="O733" s="75" t="s">
        <v>54</v>
      </c>
      <c r="P733" s="134" t="str">
        <f>IF(AND('331-CT'!$E$7=TH!H733,OR(N733="331",O733="331")),"x","")</f>
        <v/>
      </c>
    </row>
    <row r="734" spans="1:16" ht="18" hidden="1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122"/>
      <c r="J734" s="122"/>
      <c r="K734" s="122"/>
      <c r="L734" s="122"/>
      <c r="M734" s="74">
        <v>13088889</v>
      </c>
      <c r="N734" s="75" t="s">
        <v>239</v>
      </c>
      <c r="O734" s="75" t="s">
        <v>54</v>
      </c>
      <c r="P734" s="134" t="str">
        <f>IF(AND('331-CT'!$E$7=TH!H734,OR(N734="331",O734="331")),"x","")</f>
        <v/>
      </c>
    </row>
    <row r="735" spans="1:16" ht="18" hidden="1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122"/>
      <c r="J735" s="122"/>
      <c r="K735" s="122"/>
      <c r="L735" s="122"/>
      <c r="M735" s="74">
        <v>12270833</v>
      </c>
      <c r="N735" s="75" t="s">
        <v>239</v>
      </c>
      <c r="O735" s="75" t="s">
        <v>54</v>
      </c>
      <c r="P735" s="134" t="str">
        <f>IF(AND('331-CT'!$E$7=TH!H735,OR(N735="331",O735="331")),"x","")</f>
        <v/>
      </c>
    </row>
    <row r="736" spans="1:16" ht="18" hidden="1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9"/>
      <c r="J736" s="9"/>
      <c r="K736" s="9"/>
      <c r="L736" s="9"/>
      <c r="M736" s="74">
        <v>8180556</v>
      </c>
      <c r="N736" s="75" t="s">
        <v>239</v>
      </c>
      <c r="O736" s="75" t="s">
        <v>54</v>
      </c>
      <c r="P736" s="134" t="str">
        <f>IF(AND('331-CT'!$E$7=TH!H736,OR(N736="331",O736="331")),"x","")</f>
        <v/>
      </c>
    </row>
    <row r="737" spans="1:16" ht="18" hidden="1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122"/>
      <c r="J737" s="122"/>
      <c r="K737" s="122"/>
      <c r="L737" s="122"/>
      <c r="M737" s="74">
        <v>12270833</v>
      </c>
      <c r="N737" s="75" t="s">
        <v>239</v>
      </c>
      <c r="O737" s="75" t="s">
        <v>54</v>
      </c>
      <c r="P737" s="134" t="str">
        <f>IF(AND('331-CT'!$E$7=TH!H737,OR(N737="331",O737="331")),"x","")</f>
        <v/>
      </c>
    </row>
    <row r="738" spans="1:16" ht="18" hidden="1" customHeight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122"/>
      <c r="J738" s="122"/>
      <c r="K738" s="122"/>
      <c r="L738" s="122"/>
      <c r="M738" s="74">
        <v>16361111</v>
      </c>
      <c r="N738" s="75" t="s">
        <v>239</v>
      </c>
      <c r="O738" s="75" t="s">
        <v>54</v>
      </c>
      <c r="P738" s="134" t="str">
        <f>IF(AND('331-CT'!$E$7=TH!H738,OR(N738="331",O738="331")),"x","")</f>
        <v/>
      </c>
    </row>
    <row r="739" spans="1:16" ht="18" hidden="1" customHeight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122"/>
      <c r="J739" s="122"/>
      <c r="K739" s="122"/>
      <c r="L739" s="122"/>
      <c r="M739" s="74">
        <v>11452778</v>
      </c>
      <c r="N739" s="75" t="s">
        <v>239</v>
      </c>
      <c r="O739" s="75" t="s">
        <v>54</v>
      </c>
      <c r="P739" s="134" t="str">
        <f>IF(AND('331-CT'!$E$7=TH!H739,OR(N739="331",O739="331")),"x","")</f>
        <v/>
      </c>
    </row>
    <row r="740" spans="1:16" ht="18" hidden="1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122"/>
      <c r="J740" s="122"/>
      <c r="K740" s="122"/>
      <c r="L740" s="122"/>
      <c r="M740" s="74">
        <v>12270833</v>
      </c>
      <c r="N740" s="75" t="s">
        <v>239</v>
      </c>
      <c r="O740" s="75" t="s">
        <v>54</v>
      </c>
      <c r="P740" s="134" t="str">
        <f>IF(AND('331-CT'!$E$7=TH!H740,OR(N740="331",O740="331")),"x","")</f>
        <v/>
      </c>
    </row>
    <row r="741" spans="1:16" ht="18" hidden="1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122"/>
      <c r="J741" s="122"/>
      <c r="K741" s="122"/>
      <c r="L741" s="122"/>
      <c r="M741" s="74">
        <v>12270833</v>
      </c>
      <c r="N741" s="75" t="s">
        <v>239</v>
      </c>
      <c r="O741" s="75" t="s">
        <v>54</v>
      </c>
      <c r="P741" s="134" t="str">
        <f>IF(AND('331-CT'!$E$7=TH!H741,OR(N741="331",O741="331")),"x","")</f>
        <v/>
      </c>
    </row>
    <row r="742" spans="1:16" ht="18" hidden="1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122"/>
      <c r="J742" s="122"/>
      <c r="K742" s="122"/>
      <c r="L742" s="122"/>
      <c r="M742" s="74">
        <v>19000000</v>
      </c>
      <c r="N742" s="75" t="s">
        <v>239</v>
      </c>
      <c r="O742" s="75" t="s">
        <v>54</v>
      </c>
      <c r="P742" s="134" t="str">
        <f>IF(AND('331-CT'!$E$7=TH!H742,OR(N742="331",O742="331")),"x","")</f>
        <v/>
      </c>
    </row>
    <row r="743" spans="1:16" ht="18" hidden="1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122"/>
      <c r="J743" s="122"/>
      <c r="K743" s="122"/>
      <c r="L743" s="122"/>
      <c r="M743" s="74">
        <v>15833333</v>
      </c>
      <c r="N743" s="75" t="s">
        <v>239</v>
      </c>
      <c r="O743" s="75" t="s">
        <v>54</v>
      </c>
      <c r="P743" s="134" t="str">
        <f>IF(AND('331-CT'!$E$7=TH!H743,OR(N743="331",O743="331")),"x","")</f>
        <v/>
      </c>
    </row>
    <row r="744" spans="1:16" ht="18" hidden="1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125"/>
      <c r="J744" s="125"/>
      <c r="K744" s="125"/>
      <c r="L744" s="125"/>
      <c r="M744" s="74">
        <v>33000000</v>
      </c>
      <c r="N744" s="75" t="s">
        <v>18</v>
      </c>
      <c r="O744" s="75" t="s">
        <v>54</v>
      </c>
      <c r="P744" s="134" t="str">
        <f>IF(AND('331-CT'!$E$7=TH!H744,OR(N744="331",O744="331")),"x","")</f>
        <v/>
      </c>
    </row>
    <row r="745" spans="1:16" ht="18" hidden="1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125"/>
      <c r="J745" s="125"/>
      <c r="K745" s="125"/>
      <c r="L745" s="125"/>
      <c r="M745" s="74">
        <v>20000</v>
      </c>
      <c r="N745" s="75" t="s">
        <v>241</v>
      </c>
      <c r="O745" s="75" t="s">
        <v>54</v>
      </c>
      <c r="P745" s="134" t="str">
        <f>IF(AND('331-CT'!$E$7=TH!H745,OR(N745="331",O745="331")),"x","")</f>
        <v/>
      </c>
    </row>
    <row r="746" spans="1:16" ht="18" hidden="1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9"/>
      <c r="J746" s="9"/>
      <c r="K746" s="9"/>
      <c r="L746" s="9"/>
      <c r="M746" s="74">
        <v>2000</v>
      </c>
      <c r="N746" s="75" t="s">
        <v>19</v>
      </c>
      <c r="O746" s="75" t="s">
        <v>54</v>
      </c>
      <c r="P746" s="134" t="str">
        <f>IF(AND('331-CT'!$E$7=TH!H746,OR(N746="331",O746="331")),"x","")</f>
        <v/>
      </c>
    </row>
    <row r="747" spans="1:16" ht="18" hidden="1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122"/>
      <c r="J747" s="122"/>
      <c r="K747" s="122"/>
      <c r="L747" s="122"/>
      <c r="M747" s="74">
        <v>268648390</v>
      </c>
      <c r="N747" s="75" t="s">
        <v>654</v>
      </c>
      <c r="O747" s="75" t="s">
        <v>18</v>
      </c>
      <c r="P747" s="134" t="str">
        <f>IF(AND('331-CT'!$E$7=TH!H747,OR(N747="331",O747="331")),"x","")</f>
        <v/>
      </c>
    </row>
    <row r="748" spans="1:16" ht="18" hidden="1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122"/>
      <c r="J748" s="122"/>
      <c r="K748" s="122"/>
      <c r="L748" s="122"/>
      <c r="M748" s="74">
        <v>26864839</v>
      </c>
      <c r="N748" s="75" t="s">
        <v>19</v>
      </c>
      <c r="O748" s="75" t="s">
        <v>18</v>
      </c>
      <c r="P748" s="134" t="str">
        <f>IF(AND('331-CT'!$E$7=TH!H748,OR(N748="331",O748="331")),"x","")</f>
        <v/>
      </c>
    </row>
    <row r="749" spans="1:16" ht="18" hidden="1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122"/>
      <c r="J749" s="122"/>
      <c r="K749" s="122"/>
      <c r="L749" s="122"/>
      <c r="M749" s="74">
        <v>54327273</v>
      </c>
      <c r="N749" s="75" t="s">
        <v>654</v>
      </c>
      <c r="O749" s="75" t="s">
        <v>18</v>
      </c>
      <c r="P749" s="134" t="str">
        <f>IF(AND('331-CT'!$E$7=TH!H749,OR(N749="331",O749="331")),"x","")</f>
        <v/>
      </c>
    </row>
    <row r="750" spans="1:16" ht="18" hidden="1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122"/>
      <c r="J750" s="122"/>
      <c r="K750" s="122"/>
      <c r="L750" s="122"/>
      <c r="M750" s="74">
        <v>5432727</v>
      </c>
      <c r="N750" s="75" t="s">
        <v>19</v>
      </c>
      <c r="O750" s="75" t="s">
        <v>18</v>
      </c>
      <c r="P750" s="134" t="str">
        <f>IF(AND('331-CT'!$E$7=TH!H750,OR(N750="331",O750="331")),"x","")</f>
        <v/>
      </c>
    </row>
    <row r="751" spans="1:16" ht="18" hidden="1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122"/>
      <c r="J751" s="122"/>
      <c r="K751" s="122"/>
      <c r="L751" s="122"/>
      <c r="M751" s="74">
        <v>15500000</v>
      </c>
      <c r="N751" s="75" t="s">
        <v>654</v>
      </c>
      <c r="O751" s="75" t="s">
        <v>203</v>
      </c>
      <c r="P751" s="134" t="str">
        <f>IF(AND('331-CT'!$E$7=TH!H751,OR(N751="331",O751="331")),"x","")</f>
        <v/>
      </c>
    </row>
    <row r="752" spans="1:16" ht="18" hidden="1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122"/>
      <c r="J752" s="122"/>
      <c r="K752" s="122"/>
      <c r="L752" s="122"/>
      <c r="M752" s="74">
        <v>3300000</v>
      </c>
      <c r="N752" s="75" t="s">
        <v>654</v>
      </c>
      <c r="O752" s="75" t="s">
        <v>203</v>
      </c>
      <c r="P752" s="134" t="str">
        <f>IF(AND('331-CT'!$E$7=TH!H752,OR(N752="331",O752="331")),"x","")</f>
        <v/>
      </c>
    </row>
    <row r="753" spans="1:16" ht="18" hidden="1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122"/>
      <c r="J753" s="122"/>
      <c r="K753" s="122"/>
      <c r="L753" s="122"/>
      <c r="M753" s="74">
        <v>128400000</v>
      </c>
      <c r="N753" s="75" t="s">
        <v>18</v>
      </c>
      <c r="O753" s="75" t="s">
        <v>54</v>
      </c>
      <c r="P753" s="134" t="str">
        <f>IF(AND('331-CT'!$E$7=TH!H753,OR(N753="331",O753="331")),"x","")</f>
        <v/>
      </c>
    </row>
    <row r="754" spans="1:16" ht="18" hidden="1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122"/>
      <c r="J754" s="122"/>
      <c r="K754" s="122"/>
      <c r="L754" s="122"/>
      <c r="M754" s="74">
        <v>60000</v>
      </c>
      <c r="N754" s="75" t="s">
        <v>241</v>
      </c>
      <c r="O754" s="75" t="s">
        <v>54</v>
      </c>
      <c r="P754" s="134" t="str">
        <f>IF(AND('331-CT'!$E$7=TH!H754,OR(N754="331",O754="331")),"x","")</f>
        <v/>
      </c>
    </row>
    <row r="755" spans="1:16" ht="18" hidden="1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122"/>
      <c r="J755" s="122"/>
      <c r="K755" s="122"/>
      <c r="L755" s="122"/>
      <c r="M755" s="74">
        <v>6000</v>
      </c>
      <c r="N755" s="75" t="s">
        <v>19</v>
      </c>
      <c r="O755" s="75" t="s">
        <v>54</v>
      </c>
      <c r="P755" s="134" t="str">
        <f>IF(AND('331-CT'!$E$7=TH!H755,OR(N755="331",O755="331")),"x","")</f>
        <v/>
      </c>
    </row>
    <row r="756" spans="1:16" ht="18" hidden="1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122"/>
      <c r="J756" s="122"/>
      <c r="K756" s="122"/>
      <c r="L756" s="122"/>
      <c r="M756" s="74">
        <v>200000000</v>
      </c>
      <c r="N756" s="75" t="s">
        <v>18</v>
      </c>
      <c r="O756" s="75" t="s">
        <v>54</v>
      </c>
      <c r="P756" s="134" t="str">
        <f>IF(AND('331-CT'!$E$7=TH!H756,OR(N756="331",O756="331")),"x","")</f>
        <v/>
      </c>
    </row>
    <row r="757" spans="1:16" ht="18" hidden="1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122"/>
      <c r="J757" s="122"/>
      <c r="K757" s="122"/>
      <c r="L757" s="122"/>
      <c r="M757" s="74">
        <v>64200</v>
      </c>
      <c r="N757" s="75" t="s">
        <v>241</v>
      </c>
      <c r="O757" s="75" t="s">
        <v>54</v>
      </c>
      <c r="P757" s="134" t="str">
        <f>IF(AND('331-CT'!$E$7=TH!H757,OR(N757="331",O757="331")),"x","")</f>
        <v/>
      </c>
    </row>
    <row r="758" spans="1:16" ht="18" hidden="1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122"/>
      <c r="J758" s="122"/>
      <c r="K758" s="122"/>
      <c r="L758" s="122"/>
      <c r="M758" s="74">
        <v>6420</v>
      </c>
      <c r="N758" s="75" t="s">
        <v>19</v>
      </c>
      <c r="O758" s="75" t="s">
        <v>54</v>
      </c>
      <c r="P758" s="134" t="str">
        <f>IF(AND('331-CT'!$E$7=TH!H758,OR(N758="331",O758="331")),"x","")</f>
        <v/>
      </c>
    </row>
    <row r="759" spans="1:16" ht="18" hidden="1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122"/>
      <c r="J759" s="122"/>
      <c r="K759" s="122"/>
      <c r="L759" s="122"/>
      <c r="M759" s="74">
        <v>3922000</v>
      </c>
      <c r="N759" s="75" t="s">
        <v>241</v>
      </c>
      <c r="O759" s="75" t="s">
        <v>203</v>
      </c>
      <c r="P759" s="134" t="str">
        <f>IF(AND('331-CT'!$E$7=TH!H759,OR(N759="331",O759="331")),"x","")</f>
        <v/>
      </c>
    </row>
    <row r="760" spans="1:16" ht="18" hidden="1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122"/>
      <c r="J760" s="122"/>
      <c r="K760" s="122"/>
      <c r="L760" s="122"/>
      <c r="M760" s="74">
        <v>196100</v>
      </c>
      <c r="N760" s="75" t="s">
        <v>19</v>
      </c>
      <c r="O760" s="75" t="s">
        <v>203</v>
      </c>
      <c r="P760" s="134" t="str">
        <f>IF(AND('331-CT'!$E$7=TH!H760,OR(N760="331",O760="331")),"x","")</f>
        <v/>
      </c>
    </row>
    <row r="761" spans="1:16" ht="18" hidden="1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122"/>
      <c r="J761" s="122"/>
      <c r="K761" s="122"/>
      <c r="L761" s="122"/>
      <c r="M761" s="74">
        <v>186494</v>
      </c>
      <c r="N761" s="75" t="s">
        <v>54</v>
      </c>
      <c r="O761" s="75" t="s">
        <v>99</v>
      </c>
      <c r="P761" s="134" t="str">
        <f>IF(AND('331-CT'!$E$7=TH!H761,OR(N761="331",O761="331")),"x","")</f>
        <v/>
      </c>
    </row>
    <row r="762" spans="1:16" ht="18" hidden="1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122"/>
      <c r="J762" s="122"/>
      <c r="K762" s="122"/>
      <c r="L762" s="122"/>
      <c r="M762" s="74">
        <v>2990000</v>
      </c>
      <c r="N762" s="75" t="s">
        <v>654</v>
      </c>
      <c r="O762" s="75" t="s">
        <v>203</v>
      </c>
      <c r="P762" s="134" t="str">
        <f>IF(AND('331-CT'!$E$7=TH!H762,OR(N762="331",O762="331")),"x","")</f>
        <v/>
      </c>
    </row>
    <row r="763" spans="1:16" ht="18" hidden="1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122"/>
      <c r="J763" s="122"/>
      <c r="K763" s="122"/>
      <c r="L763" s="122"/>
      <c r="M763" s="74">
        <v>50000000</v>
      </c>
      <c r="N763" s="75" t="s">
        <v>18</v>
      </c>
      <c r="O763" s="75" t="s">
        <v>54</v>
      </c>
      <c r="P763" s="134" t="str">
        <f>IF(AND('331-CT'!$E$7=TH!H763,OR(N763="331",O763="331")),"x","")</f>
        <v/>
      </c>
    </row>
    <row r="764" spans="1:16" ht="18" hidden="1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122"/>
      <c r="J764" s="122"/>
      <c r="K764" s="122"/>
      <c r="L764" s="122"/>
      <c r="M764" s="74">
        <v>25000</v>
      </c>
      <c r="N764" s="75" t="s">
        <v>241</v>
      </c>
      <c r="O764" s="75" t="s">
        <v>54</v>
      </c>
      <c r="P764" s="134" t="str">
        <f>IF(AND('331-CT'!$E$7=TH!H764,OR(N764="331",O764="331")),"x","")</f>
        <v/>
      </c>
    </row>
    <row r="765" spans="1:16" ht="18" hidden="1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122"/>
      <c r="J765" s="122"/>
      <c r="K765" s="122"/>
      <c r="L765" s="122"/>
      <c r="M765" s="74">
        <v>2500</v>
      </c>
      <c r="N765" s="75" t="s">
        <v>19</v>
      </c>
      <c r="O765" s="75" t="s">
        <v>54</v>
      </c>
      <c r="P765" s="134" t="str">
        <f>IF(AND('331-CT'!$E$7=TH!H765,OR(N765="331",O765="331")),"x","")</f>
        <v/>
      </c>
    </row>
    <row r="766" spans="1:16" ht="18" hidden="1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9"/>
      <c r="J766" s="9"/>
      <c r="K766" s="9"/>
      <c r="L766" s="9"/>
      <c r="M766" s="74">
        <v>500000000</v>
      </c>
      <c r="N766" s="75" t="s">
        <v>18</v>
      </c>
      <c r="O766" s="75" t="s">
        <v>54</v>
      </c>
      <c r="P766" s="134" t="str">
        <f>IF(AND('331-CT'!$E$7=TH!H766,OR(N766="331",O766="331")),"x","")</f>
        <v>x</v>
      </c>
    </row>
    <row r="767" spans="1:16" ht="18" hidden="1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122"/>
      <c r="J767" s="122"/>
      <c r="K767" s="122"/>
      <c r="L767" s="122"/>
      <c r="M767" s="74">
        <v>250000</v>
      </c>
      <c r="N767" s="75" t="s">
        <v>241</v>
      </c>
      <c r="O767" s="75" t="s">
        <v>54</v>
      </c>
      <c r="P767" s="134" t="str">
        <f>IF(AND('331-CT'!$E$7=TH!H767,OR(N767="331",O767="331")),"x","")</f>
        <v/>
      </c>
    </row>
    <row r="768" spans="1:16" ht="18" hidden="1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122"/>
      <c r="J768" s="122"/>
      <c r="K768" s="122"/>
      <c r="L768" s="122"/>
      <c r="M768" s="74">
        <v>25000</v>
      </c>
      <c r="N768" s="75" t="s">
        <v>19</v>
      </c>
      <c r="O768" s="75" t="s">
        <v>54</v>
      </c>
      <c r="P768" s="134" t="str">
        <f>IF(AND('331-CT'!$E$7=TH!H768,OR(N768="331",O768="331")),"x","")</f>
        <v/>
      </c>
    </row>
    <row r="769" spans="1:16" ht="18" hidden="1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122"/>
      <c r="J769" s="122"/>
      <c r="K769" s="122"/>
      <c r="L769" s="122"/>
      <c r="M769" s="74">
        <v>2000000000</v>
      </c>
      <c r="N769" s="75" t="s">
        <v>654</v>
      </c>
      <c r="O769" s="75" t="s">
        <v>18</v>
      </c>
      <c r="P769" s="134" t="str">
        <f>IF(AND('331-CT'!$E$7=TH!H769,OR(N769="331",O769="331")),"x","")</f>
        <v/>
      </c>
    </row>
    <row r="770" spans="1:16" ht="18" hidden="1" customHeight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122"/>
      <c r="J770" s="122"/>
      <c r="K770" s="122"/>
      <c r="L770" s="122"/>
      <c r="M770" s="74">
        <v>200000000</v>
      </c>
      <c r="N770" s="75" t="s">
        <v>19</v>
      </c>
      <c r="O770" s="75" t="s">
        <v>18</v>
      </c>
      <c r="P770" s="134" t="str">
        <f>IF(AND('331-CT'!$E$7=TH!H770,OR(N770="331",O770="331")),"x","")</f>
        <v/>
      </c>
    </row>
    <row r="771" spans="1:16" ht="18" hidden="1" customHeight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122"/>
      <c r="J771" s="122"/>
      <c r="K771" s="122"/>
      <c r="L771" s="122"/>
      <c r="M771" s="74">
        <v>2000000000</v>
      </c>
      <c r="N771" s="75" t="s">
        <v>203</v>
      </c>
      <c r="O771" s="75" t="s">
        <v>39</v>
      </c>
      <c r="P771" s="134" t="str">
        <f>IF(AND('331-CT'!$E$7=TH!H771,OR(N771="331",O771="331")),"x","")</f>
        <v/>
      </c>
    </row>
    <row r="772" spans="1:16" ht="18" hidden="1" customHeight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122"/>
      <c r="J772" s="122"/>
      <c r="K772" s="122"/>
      <c r="L772" s="122"/>
      <c r="M772" s="74">
        <v>362727273</v>
      </c>
      <c r="N772" s="75" t="s">
        <v>654</v>
      </c>
      <c r="O772" s="75" t="s">
        <v>18</v>
      </c>
      <c r="P772" s="134" t="str">
        <f>IF(AND('331-CT'!$E$7=TH!H772,OR(N772="331",O772="331")),"x","")</f>
        <v/>
      </c>
    </row>
    <row r="773" spans="1:16" ht="18" hidden="1" customHeight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122"/>
      <c r="J773" s="122"/>
      <c r="K773" s="122"/>
      <c r="L773" s="122"/>
      <c r="M773" s="74">
        <v>36272727</v>
      </c>
      <c r="N773" s="75" t="s">
        <v>19</v>
      </c>
      <c r="O773" s="75" t="s">
        <v>18</v>
      </c>
      <c r="P773" s="134" t="str">
        <f>IF(AND('331-CT'!$E$7=TH!H773,OR(N773="331",O773="331")),"x","")</f>
        <v/>
      </c>
    </row>
    <row r="774" spans="1:16" ht="18" hidden="1" customHeight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122"/>
      <c r="J774" s="122"/>
      <c r="K774" s="122"/>
      <c r="L774" s="122"/>
      <c r="M774" s="74">
        <v>300000000</v>
      </c>
      <c r="N774" s="75" t="s">
        <v>54</v>
      </c>
      <c r="O774" s="75" t="s">
        <v>203</v>
      </c>
      <c r="P774" s="134" t="str">
        <f>IF(AND('331-CT'!$E$7=TH!H774,OR(N774="331",O774="331")),"x","")</f>
        <v/>
      </c>
    </row>
    <row r="775" spans="1:16" ht="18" hidden="1" customHeight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122"/>
      <c r="J775" s="122"/>
      <c r="K775" s="122"/>
      <c r="L775" s="122"/>
      <c r="M775" s="74">
        <v>228000000</v>
      </c>
      <c r="N775" s="75" t="s">
        <v>18</v>
      </c>
      <c r="O775" s="75" t="s">
        <v>54</v>
      </c>
      <c r="P775" s="134" t="str">
        <f>IF(AND('331-CT'!$E$7=TH!H775,OR(N775="331",O775="331")),"x","")</f>
        <v/>
      </c>
    </row>
    <row r="776" spans="1:16" ht="18" hidden="1" customHeight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122"/>
      <c r="J776" s="122"/>
      <c r="K776" s="122"/>
      <c r="L776" s="122"/>
      <c r="M776" s="74">
        <v>114000</v>
      </c>
      <c r="N776" s="75" t="s">
        <v>241</v>
      </c>
      <c r="O776" s="75" t="s">
        <v>54</v>
      </c>
      <c r="P776" s="134" t="str">
        <f>IF(AND('331-CT'!$E$7=TH!H776,OR(N776="331",O776="331")),"x","")</f>
        <v/>
      </c>
    </row>
    <row r="777" spans="1:16" ht="18" hidden="1" customHeight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122"/>
      <c r="J777" s="122"/>
      <c r="K777" s="122"/>
      <c r="L777" s="122"/>
      <c r="M777" s="74">
        <v>11400</v>
      </c>
      <c r="N777" s="75" t="s">
        <v>19</v>
      </c>
      <c r="O777" s="75" t="s">
        <v>54</v>
      </c>
      <c r="P777" s="134" t="str">
        <f>IF(AND('331-CT'!$E$7=TH!H777,OR(N777="331",O777="331")),"x","")</f>
        <v/>
      </c>
    </row>
    <row r="778" spans="1:16" s="109" customFormat="1" ht="18" hidden="1" customHeigh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125"/>
      <c r="J778" s="125"/>
      <c r="K778" s="125"/>
      <c r="L778" s="125"/>
      <c r="M778" s="258">
        <v>150000000</v>
      </c>
      <c r="N778" s="259" t="s">
        <v>18</v>
      </c>
      <c r="O778" s="259" t="s">
        <v>54</v>
      </c>
      <c r="P778" s="134" t="str">
        <f>IF(AND('331-CT'!$E$7=TH!H778,OR(N778="331",O778="331")),"x","")</f>
        <v/>
      </c>
    </row>
    <row r="779" spans="1:16" ht="18" hidden="1" customHeight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122"/>
      <c r="J779" s="122"/>
      <c r="K779" s="122"/>
      <c r="L779" s="122"/>
      <c r="M779" s="74">
        <v>95000</v>
      </c>
      <c r="N779" s="75" t="s">
        <v>241</v>
      </c>
      <c r="O779" s="75" t="s">
        <v>54</v>
      </c>
      <c r="P779" s="134" t="str">
        <f>IF(AND('331-CT'!$E$7=TH!H779,OR(N779="331",O779="331")),"x","")</f>
        <v/>
      </c>
    </row>
    <row r="780" spans="1:16" ht="18" hidden="1" customHeight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122"/>
      <c r="J780" s="122"/>
      <c r="K780" s="122"/>
      <c r="L780" s="122"/>
      <c r="M780" s="74">
        <v>9500</v>
      </c>
      <c r="N780" s="75" t="s">
        <v>19</v>
      </c>
      <c r="O780" s="75" t="s">
        <v>54</v>
      </c>
      <c r="P780" s="134" t="str">
        <f>IF(AND('331-CT'!$E$7=TH!H780,OR(N780="331",O780="331")),"x","")</f>
        <v/>
      </c>
    </row>
    <row r="781" spans="1:16" ht="18" hidden="1" customHeight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2"/>
      <c r="J781" s="132"/>
      <c r="K781" s="132"/>
      <c r="L781" s="132"/>
      <c r="M781" s="133">
        <v>50000000</v>
      </c>
      <c r="N781" s="134" t="s">
        <v>18</v>
      </c>
      <c r="O781" s="134" t="s">
        <v>54</v>
      </c>
      <c r="P781" s="134" t="str">
        <f>IF(AND('331-CT'!$E$7=TH!H781,OR(N781="331",O781="331")),"x","")</f>
        <v/>
      </c>
    </row>
    <row r="782" spans="1:16" ht="18" hidden="1" customHeight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122"/>
      <c r="J782" s="122"/>
      <c r="K782" s="122"/>
      <c r="L782" s="122"/>
      <c r="M782" s="74">
        <v>25000</v>
      </c>
      <c r="N782" s="75" t="s">
        <v>241</v>
      </c>
      <c r="O782" s="75" t="s">
        <v>54</v>
      </c>
      <c r="P782" s="134" t="str">
        <f>IF(AND('331-CT'!$E$7=TH!H782,OR(N782="331",O782="331")),"x","")</f>
        <v/>
      </c>
    </row>
    <row r="783" spans="1:16" ht="18" hidden="1" customHeight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122"/>
      <c r="J783" s="122"/>
      <c r="K783" s="122"/>
      <c r="L783" s="122"/>
      <c r="M783" s="74">
        <v>2500</v>
      </c>
      <c r="N783" s="75" t="s">
        <v>19</v>
      </c>
      <c r="O783" s="75" t="s">
        <v>54</v>
      </c>
      <c r="P783" s="134" t="str">
        <f>IF(AND('331-CT'!$E$7=TH!H783,OR(N783="331",O783="331")),"x","")</f>
        <v/>
      </c>
    </row>
    <row r="784" spans="1:16" ht="18" hidden="1" customHeight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122"/>
      <c r="J784" s="122"/>
      <c r="K784" s="122"/>
      <c r="L784" s="122"/>
      <c r="M784" s="74">
        <v>1591000</v>
      </c>
      <c r="N784" s="75" t="s">
        <v>241</v>
      </c>
      <c r="O784" s="75" t="s">
        <v>203</v>
      </c>
      <c r="P784" s="134" t="str">
        <f>IF(AND('331-CT'!$E$7=TH!H784,OR(N784="331",O784="331")),"x","")</f>
        <v/>
      </c>
    </row>
    <row r="785" spans="1:16" ht="18" hidden="1" customHeight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122"/>
      <c r="J785" s="122"/>
      <c r="K785" s="122"/>
      <c r="L785" s="122"/>
      <c r="M785" s="74">
        <v>159000</v>
      </c>
      <c r="N785" s="75" t="s">
        <v>19</v>
      </c>
      <c r="O785" s="75" t="s">
        <v>203</v>
      </c>
      <c r="P785" s="134" t="str">
        <f>IF(AND('331-CT'!$E$7=TH!H785,OR(N785="331",O785="331")),"x","")</f>
        <v/>
      </c>
    </row>
    <row r="786" spans="1:16" ht="18" hidden="1" customHeight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122"/>
      <c r="J786" s="122"/>
      <c r="K786" s="122"/>
      <c r="L786" s="122"/>
      <c r="M786" s="74">
        <v>104460564</v>
      </c>
      <c r="N786" s="75" t="s">
        <v>654</v>
      </c>
      <c r="O786" s="75" t="s">
        <v>18</v>
      </c>
      <c r="P786" s="134" t="str">
        <f>IF(AND('331-CT'!$E$7=TH!H786,OR(N786="331",O786="331")),"x","")</f>
        <v/>
      </c>
    </row>
    <row r="787" spans="1:16" ht="18" hidden="1" customHeight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122"/>
      <c r="J787" s="122"/>
      <c r="K787" s="122"/>
      <c r="L787" s="122"/>
      <c r="M787" s="74">
        <v>10446056</v>
      </c>
      <c r="N787" s="75" t="s">
        <v>19</v>
      </c>
      <c r="O787" s="75" t="s">
        <v>18</v>
      </c>
      <c r="P787" s="134" t="str">
        <f>IF(AND('331-CT'!$E$7=TH!H787,OR(N787="331",O787="331")),"x","")</f>
        <v/>
      </c>
    </row>
    <row r="788" spans="1:16" ht="18" hidden="1" customHeight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122"/>
      <c r="J788" s="122"/>
      <c r="K788" s="122"/>
      <c r="L788" s="122"/>
      <c r="M788" s="74">
        <v>16600000</v>
      </c>
      <c r="N788" s="75" t="s">
        <v>654</v>
      </c>
      <c r="O788" s="75" t="s">
        <v>203</v>
      </c>
      <c r="P788" s="134" t="str">
        <f>IF(AND('331-CT'!$E$7=TH!H788,OR(N788="331",O788="331")),"x","")</f>
        <v/>
      </c>
    </row>
    <row r="789" spans="1:16" ht="18" hidden="1" customHeight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122"/>
      <c r="J789" s="122"/>
      <c r="K789" s="122"/>
      <c r="L789" s="122"/>
      <c r="M789" s="74">
        <v>1660000</v>
      </c>
      <c r="N789" s="75" t="s">
        <v>19</v>
      </c>
      <c r="O789" s="75" t="s">
        <v>203</v>
      </c>
      <c r="P789" s="134" t="str">
        <f>IF(AND('331-CT'!$E$7=TH!H789,OR(N789="331",O789="331")),"x","")</f>
        <v/>
      </c>
    </row>
    <row r="790" spans="1:16" ht="18" hidden="1" customHeight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122"/>
      <c r="J790" s="122"/>
      <c r="K790" s="122"/>
      <c r="L790" s="122"/>
      <c r="M790" s="74">
        <v>18032000</v>
      </c>
      <c r="N790" s="75" t="s">
        <v>654</v>
      </c>
      <c r="O790" s="75" t="s">
        <v>203</v>
      </c>
      <c r="P790" s="134" t="str">
        <f>IF(AND('331-CT'!$E$7=TH!H790,OR(N790="331",O790="331")),"x","")</f>
        <v/>
      </c>
    </row>
    <row r="791" spans="1:16" s="260" customFormat="1" ht="18" hidden="1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125"/>
      <c r="J791" s="125"/>
      <c r="K791" s="125"/>
      <c r="L791" s="125"/>
      <c r="M791" s="258">
        <v>1803200</v>
      </c>
      <c r="N791" s="259" t="s">
        <v>19</v>
      </c>
      <c r="O791" s="259" t="s">
        <v>203</v>
      </c>
      <c r="P791" s="134" t="str">
        <f>IF(AND('331-CT'!$E$7=TH!H791,OR(N791="331",O791="331")),"x","")</f>
        <v/>
      </c>
    </row>
    <row r="792" spans="1:16" s="260" customFormat="1" ht="18" hidden="1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125"/>
      <c r="J792" s="125"/>
      <c r="K792" s="125"/>
      <c r="L792" s="125"/>
      <c r="M792" s="258">
        <v>11650000</v>
      </c>
      <c r="N792" s="259" t="s">
        <v>654</v>
      </c>
      <c r="O792" s="259" t="s">
        <v>203</v>
      </c>
      <c r="P792" s="134" t="str">
        <f>IF(AND('331-CT'!$E$7=TH!H792,OR(N792="331",O792="331")),"x","")</f>
        <v/>
      </c>
    </row>
    <row r="793" spans="1:16" s="291" customFormat="1" ht="18" hidden="1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132"/>
      <c r="J793" s="132"/>
      <c r="K793" s="132"/>
      <c r="L793" s="132"/>
      <c r="M793" s="289">
        <v>1165000</v>
      </c>
      <c r="N793" s="290" t="s">
        <v>19</v>
      </c>
      <c r="O793" s="290" t="s">
        <v>203</v>
      </c>
      <c r="P793" s="134" t="str">
        <f>IF(AND('331-CT'!$E$7=TH!H793,OR(N793="331",O793="331")),"x","")</f>
        <v/>
      </c>
    </row>
    <row r="794" spans="1:16" ht="18" hidden="1" customHeight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9"/>
      <c r="J794" s="9"/>
      <c r="K794" s="9"/>
      <c r="L794" s="9"/>
      <c r="M794" s="74">
        <v>1682000</v>
      </c>
      <c r="N794" s="259" t="s">
        <v>654</v>
      </c>
      <c r="O794" s="75" t="s">
        <v>203</v>
      </c>
      <c r="P794" s="134" t="str">
        <f>IF(AND('331-CT'!$E$7=TH!H794,OR(N794="331",O794="331")),"x","")</f>
        <v/>
      </c>
    </row>
    <row r="795" spans="1:16" ht="18" hidden="1" customHeight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9"/>
      <c r="J795" s="9"/>
      <c r="K795" s="9"/>
      <c r="L795" s="9"/>
      <c r="M795" s="74">
        <v>8200000</v>
      </c>
      <c r="N795" s="75" t="s">
        <v>654</v>
      </c>
      <c r="O795" s="75" t="s">
        <v>203</v>
      </c>
      <c r="P795" s="134" t="str">
        <f>IF(AND('331-CT'!$E$7=TH!H795,OR(N795="331",O795="331")),"x","")</f>
        <v/>
      </c>
    </row>
    <row r="796" spans="1:16" s="250" customFormat="1" ht="18" hidden="1" customHeigh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122"/>
      <c r="J796" s="122"/>
      <c r="K796" s="122"/>
      <c r="L796" s="122"/>
      <c r="M796" s="74">
        <v>200000000</v>
      </c>
      <c r="N796" s="75" t="s">
        <v>54</v>
      </c>
      <c r="O796" s="75" t="s">
        <v>203</v>
      </c>
      <c r="P796" s="134" t="str">
        <f>IF(AND('331-CT'!$E$7=TH!H796,OR(N796="331",O796="331")),"x","")</f>
        <v/>
      </c>
    </row>
    <row r="797" spans="1:16" s="250" customFormat="1" ht="18" hidden="1" customHeigh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9"/>
      <c r="J797" s="9"/>
      <c r="K797" s="9"/>
      <c r="L797" s="9"/>
      <c r="M797" s="74">
        <v>201012500</v>
      </c>
      <c r="N797" s="75" t="s">
        <v>18</v>
      </c>
      <c r="O797" s="75" t="s">
        <v>54</v>
      </c>
      <c r="P797" s="134" t="str">
        <f>IF(AND('331-CT'!$E$7=TH!H797,OR(N797="331",O797="331")),"x","")</f>
        <v/>
      </c>
    </row>
    <row r="798" spans="1:16" ht="18" hidden="1" customHeight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122"/>
      <c r="J798" s="122"/>
      <c r="K798" s="122"/>
      <c r="L798" s="122"/>
      <c r="M798" s="74">
        <v>120506</v>
      </c>
      <c r="N798" s="75" t="s">
        <v>241</v>
      </c>
      <c r="O798" s="75" t="s">
        <v>54</v>
      </c>
      <c r="P798" s="134" t="str">
        <f>IF(AND('331-CT'!$E$7=TH!H798,OR(N798="331",O798="331")),"x","")</f>
        <v/>
      </c>
    </row>
    <row r="799" spans="1:16" ht="18" hidden="1" customHeight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122"/>
      <c r="J799" s="122"/>
      <c r="K799" s="122"/>
      <c r="L799" s="122"/>
      <c r="M799" s="74">
        <v>12051</v>
      </c>
      <c r="N799" s="75" t="s">
        <v>19</v>
      </c>
      <c r="O799" s="75" t="s">
        <v>54</v>
      </c>
      <c r="P799" s="134" t="str">
        <f>IF(AND('331-CT'!$E$7=TH!H799,OR(N799="331",O799="331")),"x","")</f>
        <v/>
      </c>
    </row>
    <row r="800" spans="1:16" ht="18" hidden="1" customHeight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122"/>
      <c r="J800" s="122"/>
      <c r="K800" s="122"/>
      <c r="L800" s="122"/>
      <c r="M800" s="74">
        <v>8180556</v>
      </c>
      <c r="N800" s="75" t="s">
        <v>239</v>
      </c>
      <c r="O800" s="75" t="s">
        <v>54</v>
      </c>
      <c r="P800" s="134" t="str">
        <f>IF(AND('331-CT'!$E$7=TH!H800,OR(N800="331",O800="331")),"x","")</f>
        <v/>
      </c>
    </row>
    <row r="801" spans="1:16" ht="18" hidden="1" customHeight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122"/>
      <c r="J801" s="122"/>
      <c r="K801" s="122"/>
      <c r="L801" s="122"/>
      <c r="M801" s="74">
        <v>16361111</v>
      </c>
      <c r="N801" s="75" t="s">
        <v>239</v>
      </c>
      <c r="O801" s="75" t="s">
        <v>54</v>
      </c>
      <c r="P801" s="134" t="str">
        <f>IF(AND('331-CT'!$E$7=TH!H801,OR(N801="331",O801="331")),"x","")</f>
        <v/>
      </c>
    </row>
    <row r="802" spans="1:16" ht="18" hidden="1" customHeight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122"/>
      <c r="J802" s="122"/>
      <c r="K802" s="122"/>
      <c r="L802" s="122"/>
      <c r="M802" s="74">
        <v>13088889</v>
      </c>
      <c r="N802" s="75" t="s">
        <v>239</v>
      </c>
      <c r="O802" s="75" t="s">
        <v>54</v>
      </c>
      <c r="P802" s="134" t="str">
        <f>IF(AND('331-CT'!$E$7=TH!H802,OR(N802="331",O802="331")),"x","")</f>
        <v/>
      </c>
    </row>
    <row r="803" spans="1:16" ht="18" hidden="1" customHeight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122"/>
      <c r="J803" s="122"/>
      <c r="K803" s="122"/>
      <c r="L803" s="122"/>
      <c r="M803" s="74">
        <v>12270833</v>
      </c>
      <c r="N803" s="75" t="s">
        <v>239</v>
      </c>
      <c r="O803" s="75" t="s">
        <v>54</v>
      </c>
      <c r="P803" s="134" t="str">
        <f>IF(AND('331-CT'!$E$7=TH!H803,OR(N803="331",O803="331")),"x","")</f>
        <v/>
      </c>
    </row>
    <row r="804" spans="1:16" ht="18" hidden="1" customHeight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122"/>
      <c r="J804" s="122"/>
      <c r="K804" s="122"/>
      <c r="L804" s="122"/>
      <c r="M804" s="74">
        <v>8180556</v>
      </c>
      <c r="N804" s="75" t="s">
        <v>239</v>
      </c>
      <c r="O804" s="75" t="s">
        <v>54</v>
      </c>
      <c r="P804" s="134" t="str">
        <f>IF(AND('331-CT'!$E$7=TH!H804,OR(N804="331",O804="331")),"x","")</f>
        <v/>
      </c>
    </row>
    <row r="805" spans="1:16" ht="18" hidden="1" customHeight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122"/>
      <c r="J805" s="122"/>
      <c r="K805" s="122"/>
      <c r="L805" s="122"/>
      <c r="M805" s="74">
        <v>12270833</v>
      </c>
      <c r="N805" s="75" t="s">
        <v>239</v>
      </c>
      <c r="O805" s="75" t="s">
        <v>54</v>
      </c>
      <c r="P805" s="134" t="str">
        <f>IF(AND('331-CT'!$E$7=TH!H805,OR(N805="331",O805="331")),"x","")</f>
        <v/>
      </c>
    </row>
    <row r="806" spans="1:16" ht="18" hidden="1" customHeight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8"/>
      <c r="J806" s="248"/>
      <c r="K806" s="248"/>
      <c r="L806" s="248"/>
      <c r="M806" s="249">
        <v>16361111</v>
      </c>
      <c r="N806" s="136" t="s">
        <v>239</v>
      </c>
      <c r="O806" s="136" t="s">
        <v>54</v>
      </c>
      <c r="P806" s="134" t="str">
        <f>IF(AND('331-CT'!$E$7=TH!H806,OR(N806="331",O806="331")),"x","")</f>
        <v/>
      </c>
    </row>
    <row r="807" spans="1:16" ht="18" hidden="1" customHeight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8"/>
      <c r="J807" s="248"/>
      <c r="K807" s="248"/>
      <c r="L807" s="248"/>
      <c r="M807" s="249">
        <v>11452778</v>
      </c>
      <c r="N807" s="136" t="s">
        <v>239</v>
      </c>
      <c r="O807" s="136" t="s">
        <v>54</v>
      </c>
      <c r="P807" s="134" t="str">
        <f>IF(AND('331-CT'!$E$7=TH!H807,OR(N807="331",O807="331")),"x","")</f>
        <v/>
      </c>
    </row>
    <row r="808" spans="1:16" ht="18" hidden="1" customHeight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122"/>
      <c r="J808" s="122"/>
      <c r="K808" s="122"/>
      <c r="L808" s="122"/>
      <c r="M808" s="74">
        <v>12270833</v>
      </c>
      <c r="N808" s="75" t="s">
        <v>239</v>
      </c>
      <c r="O808" s="75" t="s">
        <v>54</v>
      </c>
      <c r="P808" s="134" t="str">
        <f>IF(AND('331-CT'!$E$7=TH!H808,OR(N808="331",O808="331")),"x","")</f>
        <v/>
      </c>
    </row>
    <row r="809" spans="1:16" ht="18" hidden="1" customHeight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122"/>
      <c r="J809" s="122"/>
      <c r="K809" s="122"/>
      <c r="L809" s="122"/>
      <c r="M809" s="74">
        <v>12270833</v>
      </c>
      <c r="N809" s="75" t="s">
        <v>239</v>
      </c>
      <c r="O809" s="75" t="s">
        <v>54</v>
      </c>
      <c r="P809" s="134" t="str">
        <f>IF(AND('331-CT'!$E$7=TH!H809,OR(N809="331",O809="331")),"x","")</f>
        <v/>
      </c>
    </row>
    <row r="810" spans="1:16" ht="18" hidden="1" customHeight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122"/>
      <c r="J810" s="122"/>
      <c r="K810" s="122"/>
      <c r="L810" s="122"/>
      <c r="M810" s="74">
        <v>12270833</v>
      </c>
      <c r="N810" s="75" t="s">
        <v>239</v>
      </c>
      <c r="O810" s="75" t="s">
        <v>54</v>
      </c>
      <c r="P810" s="134" t="str">
        <f>IF(AND('331-CT'!$E$7=TH!H810,OR(N810="331",O810="331")),"x","")</f>
        <v/>
      </c>
    </row>
    <row r="811" spans="1:16" ht="18" hidden="1" customHeight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122"/>
      <c r="J811" s="122"/>
      <c r="K811" s="122"/>
      <c r="L811" s="122"/>
      <c r="M811" s="74">
        <v>12270833</v>
      </c>
      <c r="N811" s="75" t="s">
        <v>239</v>
      </c>
      <c r="O811" s="75" t="s">
        <v>54</v>
      </c>
      <c r="P811" s="134" t="str">
        <f>IF(AND('331-CT'!$E$7=TH!H811,OR(N811="331",O811="331")),"x","")</f>
        <v/>
      </c>
    </row>
    <row r="812" spans="1:16" ht="18" hidden="1" customHeight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122"/>
      <c r="J812" s="122"/>
      <c r="K812" s="122"/>
      <c r="L812" s="122"/>
      <c r="M812" s="74">
        <v>13458333</v>
      </c>
      <c r="N812" s="75" t="s">
        <v>239</v>
      </c>
      <c r="O812" s="75" t="s">
        <v>54</v>
      </c>
      <c r="P812" s="134" t="str">
        <f>IF(AND('331-CT'!$E$7=TH!H812,OR(N812="331",O812="331")),"x","")</f>
        <v/>
      </c>
    </row>
    <row r="813" spans="1:16" ht="18" hidden="1" customHeight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122"/>
      <c r="J813" s="122"/>
      <c r="K813" s="122"/>
      <c r="L813" s="122"/>
      <c r="M813" s="74">
        <v>9763889</v>
      </c>
      <c r="N813" s="75" t="s">
        <v>239</v>
      </c>
      <c r="O813" s="75" t="s">
        <v>54</v>
      </c>
      <c r="P813" s="134" t="str">
        <f>IF(AND('331-CT'!$E$7=TH!H813,OR(N813="331",O813="331")),"x","")</f>
        <v/>
      </c>
    </row>
    <row r="814" spans="1:16" ht="18" hidden="1" customHeight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122"/>
      <c r="J814" s="122"/>
      <c r="K814" s="122"/>
      <c r="L814" s="122"/>
      <c r="M814" s="74">
        <v>50000</v>
      </c>
      <c r="N814" s="75" t="s">
        <v>241</v>
      </c>
      <c r="O814" s="75" t="s">
        <v>54</v>
      </c>
      <c r="P814" s="134" t="str">
        <f>IF(AND('331-CT'!$E$7=TH!H814,OR(N814="331",O814="331")),"x","")</f>
        <v/>
      </c>
    </row>
    <row r="815" spans="1:16" ht="18" hidden="1" customHeight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122"/>
      <c r="J815" s="122"/>
      <c r="K815" s="122"/>
      <c r="L815" s="122"/>
      <c r="M815" s="74">
        <v>5000</v>
      </c>
      <c r="N815" s="75" t="s">
        <v>19</v>
      </c>
      <c r="O815" s="75" t="s">
        <v>54</v>
      </c>
      <c r="P815" s="134" t="str">
        <f>IF(AND('331-CT'!$E$7=TH!H815,OR(N815="331",O815="331")),"x","")</f>
        <v/>
      </c>
    </row>
    <row r="816" spans="1:16" ht="18" hidden="1" customHeight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122"/>
      <c r="J816" s="122"/>
      <c r="K816" s="122"/>
      <c r="L816" s="122"/>
      <c r="M816" s="74">
        <v>50000</v>
      </c>
      <c r="N816" s="75" t="s">
        <v>241</v>
      </c>
      <c r="O816" s="75" t="s">
        <v>54</v>
      </c>
      <c r="P816" s="134" t="str">
        <f>IF(AND('331-CT'!$E$7=TH!H816,OR(N816="331",O816="331")),"x","")</f>
        <v/>
      </c>
    </row>
    <row r="817" spans="1:16" ht="18" hidden="1" customHeight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122"/>
      <c r="J817" s="122"/>
      <c r="K817" s="122"/>
      <c r="L817" s="122"/>
      <c r="M817" s="74">
        <v>5000</v>
      </c>
      <c r="N817" s="75" t="s">
        <v>19</v>
      </c>
      <c r="O817" s="75" t="s">
        <v>54</v>
      </c>
      <c r="P817" s="134" t="str">
        <f>IF(AND('331-CT'!$E$7=TH!H817,OR(N817="331",O817="331")),"x","")</f>
        <v/>
      </c>
    </row>
    <row r="818" spans="1:16" ht="18" hidden="1" customHeight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122"/>
      <c r="J818" s="122"/>
      <c r="K818" s="122"/>
      <c r="L818" s="122"/>
      <c r="M818" s="74">
        <v>100000</v>
      </c>
      <c r="N818" s="75" t="s">
        <v>241</v>
      </c>
      <c r="O818" s="75" t="s">
        <v>54</v>
      </c>
      <c r="P818" s="134" t="str">
        <f>IF(AND('331-CT'!$E$7=TH!H818,OR(N818="331",O818="331")),"x","")</f>
        <v/>
      </c>
    </row>
    <row r="819" spans="1:16" ht="18" hidden="1" customHeight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122"/>
      <c r="J819" s="122"/>
      <c r="K819" s="122"/>
      <c r="L819" s="122"/>
      <c r="M819" s="74">
        <v>10000</v>
      </c>
      <c r="N819" s="75" t="s">
        <v>19</v>
      </c>
      <c r="O819" s="75" t="s">
        <v>54</v>
      </c>
      <c r="P819" s="134" t="str">
        <f>IF(AND('331-CT'!$E$7=TH!H819,OR(N819="331",O819="331")),"x","")</f>
        <v/>
      </c>
    </row>
    <row r="820" spans="1:16" ht="18" hidden="1" customHeight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122"/>
      <c r="J820" s="122"/>
      <c r="K820" s="122"/>
      <c r="L820" s="122"/>
      <c r="M820" s="74">
        <v>400000000</v>
      </c>
      <c r="N820" s="75" t="s">
        <v>54</v>
      </c>
      <c r="O820" s="75" t="s">
        <v>203</v>
      </c>
      <c r="P820" s="134" t="str">
        <f>IF(AND('331-CT'!$E$7=TH!H820,OR(N820="331",O820="331")),"x","")</f>
        <v/>
      </c>
    </row>
    <row r="821" spans="1:16" ht="18" hidden="1" customHeight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122"/>
      <c r="J821" s="122"/>
      <c r="K821" s="122"/>
      <c r="L821" s="122"/>
      <c r="M821" s="74">
        <v>490600</v>
      </c>
      <c r="N821" s="75" t="s">
        <v>241</v>
      </c>
      <c r="O821" s="75" t="s">
        <v>203</v>
      </c>
      <c r="P821" s="134" t="str">
        <f>IF(AND('331-CT'!$E$7=TH!H821,OR(N821="331",O821="331")),"x","")</f>
        <v/>
      </c>
    </row>
    <row r="822" spans="1:16" ht="18" hidden="1" customHeight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122"/>
      <c r="J822" s="122"/>
      <c r="K822" s="122"/>
      <c r="L822" s="122"/>
      <c r="M822" s="74">
        <v>49060</v>
      </c>
      <c r="N822" s="75" t="s">
        <v>19</v>
      </c>
      <c r="O822" s="75" t="s">
        <v>203</v>
      </c>
      <c r="P822" s="134" t="str">
        <f>IF(AND('331-CT'!$E$7=TH!H822,OR(N822="331",O822="331")),"x","")</f>
        <v/>
      </c>
    </row>
    <row r="823" spans="1:16" ht="18" hidden="1" customHeight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122"/>
      <c r="J823" s="122"/>
      <c r="K823" s="122"/>
      <c r="L823" s="122"/>
      <c r="M823" s="74">
        <v>12818181</v>
      </c>
      <c r="N823" s="75" t="s">
        <v>654</v>
      </c>
      <c r="O823" s="75" t="s">
        <v>203</v>
      </c>
      <c r="P823" s="134" t="str">
        <f>IF(AND('331-CT'!$E$7=TH!H823,OR(N823="331",O823="331")),"x","")</f>
        <v/>
      </c>
    </row>
    <row r="824" spans="1:16" ht="18" hidden="1" customHeight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122"/>
      <c r="J824" s="122"/>
      <c r="K824" s="122"/>
      <c r="L824" s="122"/>
      <c r="M824" s="74">
        <v>1281819</v>
      </c>
      <c r="N824" s="75" t="s">
        <v>19</v>
      </c>
      <c r="O824" s="75" t="s">
        <v>203</v>
      </c>
      <c r="P824" s="134" t="str">
        <f>IF(AND('331-CT'!$E$7=TH!H824,OR(N824="331",O824="331")),"x","")</f>
        <v/>
      </c>
    </row>
    <row r="825" spans="1:16" ht="18" hidden="1" customHeight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122"/>
      <c r="J825" s="122"/>
      <c r="K825" s="122"/>
      <c r="L825" s="122"/>
      <c r="M825" s="74">
        <v>1336364</v>
      </c>
      <c r="N825" s="75" t="s">
        <v>241</v>
      </c>
      <c r="O825" s="75" t="s">
        <v>203</v>
      </c>
      <c r="P825" s="134" t="str">
        <f>IF(AND('331-CT'!$E$7=TH!H825,OR(N825="331",O825="331")),"x","")</f>
        <v/>
      </c>
    </row>
    <row r="826" spans="1:16" ht="18" hidden="1" customHeight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122"/>
      <c r="J826" s="122"/>
      <c r="K826" s="122"/>
      <c r="L826" s="122"/>
      <c r="M826" s="74">
        <v>133636</v>
      </c>
      <c r="N826" s="75" t="s">
        <v>19</v>
      </c>
      <c r="O826" s="75" t="s">
        <v>203</v>
      </c>
      <c r="P826" s="134" t="str">
        <f>IF(AND('331-CT'!$E$7=TH!H826,OR(N826="331",O826="331")),"x","")</f>
        <v/>
      </c>
    </row>
    <row r="827" spans="1:16" ht="18" hidden="1" customHeight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122"/>
      <c r="J827" s="122"/>
      <c r="K827" s="122"/>
      <c r="L827" s="122"/>
      <c r="M827" s="74">
        <v>18000000</v>
      </c>
      <c r="N827" s="75" t="s">
        <v>654</v>
      </c>
      <c r="O827" s="75" t="s">
        <v>203</v>
      </c>
      <c r="P827" s="134" t="str">
        <f>IF(AND('331-CT'!$E$7=TH!H827,OR(N827="331",O827="331")),"x","")</f>
        <v/>
      </c>
    </row>
    <row r="828" spans="1:16" ht="18" hidden="1" customHeight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122"/>
      <c r="J828" s="122"/>
      <c r="K828" s="122"/>
      <c r="L828" s="122"/>
      <c r="M828" s="74">
        <v>1800000</v>
      </c>
      <c r="N828" s="75" t="s">
        <v>19</v>
      </c>
      <c r="O828" s="75" t="s">
        <v>203</v>
      </c>
      <c r="P828" s="134" t="str">
        <f>IF(AND('331-CT'!$E$7=TH!H828,OR(N828="331",O828="331")),"x","")</f>
        <v/>
      </c>
    </row>
    <row r="829" spans="1:16" ht="18" hidden="1" customHeight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122"/>
      <c r="J829" s="122"/>
      <c r="K829" s="122"/>
      <c r="L829" s="122"/>
      <c r="M829" s="74">
        <v>90910870</v>
      </c>
      <c r="N829" s="75" t="s">
        <v>654</v>
      </c>
      <c r="O829" s="75" t="s">
        <v>18</v>
      </c>
      <c r="P829" s="134" t="str">
        <f>IF(AND('331-CT'!$E$7=TH!H829,OR(N829="331",O829="331")),"x","")</f>
        <v/>
      </c>
    </row>
    <row r="830" spans="1:16" ht="18" hidden="1" customHeight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122"/>
      <c r="J830" s="122"/>
      <c r="K830" s="122"/>
      <c r="L830" s="122"/>
      <c r="M830" s="74">
        <v>9091087</v>
      </c>
      <c r="N830" s="75" t="s">
        <v>19</v>
      </c>
      <c r="O830" s="75" t="s">
        <v>18</v>
      </c>
      <c r="P830" s="134" t="str">
        <f>IF(AND('331-CT'!$E$7=TH!H830,OR(N830="331",O830="331")),"x","")</f>
        <v/>
      </c>
    </row>
    <row r="831" spans="1:16" ht="18" hidden="1" customHeight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122"/>
      <c r="J831" s="122"/>
      <c r="K831" s="122"/>
      <c r="L831" s="122"/>
      <c r="M831" s="74">
        <v>73661009</v>
      </c>
      <c r="N831" s="75" t="s">
        <v>654</v>
      </c>
      <c r="O831" s="75" t="s">
        <v>18</v>
      </c>
      <c r="P831" s="134" t="str">
        <f>IF(AND('331-CT'!$E$7=TH!H831,OR(N831="331",O831="331")),"x","")</f>
        <v/>
      </c>
    </row>
    <row r="832" spans="1:16" ht="18" hidden="1" customHeight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122"/>
      <c r="J832" s="122"/>
      <c r="K832" s="122"/>
      <c r="L832" s="122"/>
      <c r="M832" s="74">
        <v>7366100</v>
      </c>
      <c r="N832" s="75" t="s">
        <v>19</v>
      </c>
      <c r="O832" s="75" t="s">
        <v>18</v>
      </c>
      <c r="P832" s="134" t="str">
        <f>IF(AND('331-CT'!$E$7=TH!H832,OR(N832="331",O832="331")),"x","")</f>
        <v/>
      </c>
    </row>
    <row r="833" spans="1:16" ht="18" hidden="1" customHeight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122"/>
      <c r="J833" s="122"/>
      <c r="K833" s="122"/>
      <c r="L833" s="122"/>
      <c r="M833" s="74">
        <v>10285400</v>
      </c>
      <c r="N833" s="75" t="s">
        <v>241</v>
      </c>
      <c r="O833" s="75" t="s">
        <v>203</v>
      </c>
      <c r="P833" s="134" t="str">
        <f>IF(AND('331-CT'!$E$7=TH!H833,OR(N833="331",O833="331")),"x","")</f>
        <v/>
      </c>
    </row>
    <row r="834" spans="1:16" ht="18" hidden="1" customHeight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122"/>
      <c r="J834" s="122"/>
      <c r="K834" s="122"/>
      <c r="L834" s="122"/>
      <c r="M834" s="74">
        <v>1028540</v>
      </c>
      <c r="N834" s="75" t="s">
        <v>19</v>
      </c>
      <c r="O834" s="75" t="s">
        <v>203</v>
      </c>
      <c r="P834" s="134" t="str">
        <f>IF(AND('331-CT'!$E$7=TH!H834,OR(N834="331",O834="331")),"x","")</f>
        <v/>
      </c>
    </row>
    <row r="835" spans="1:16" ht="18" hidden="1" customHeight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122"/>
      <c r="J835" s="122"/>
      <c r="K835" s="122"/>
      <c r="L835" s="122"/>
      <c r="M835" s="74">
        <v>50000</v>
      </c>
      <c r="N835" s="75" t="s">
        <v>241</v>
      </c>
      <c r="O835" s="75" t="s">
        <v>54</v>
      </c>
      <c r="P835" s="134" t="str">
        <f>IF(AND('331-CT'!$E$7=TH!H835,OR(N835="331",O835="331")),"x","")</f>
        <v/>
      </c>
    </row>
    <row r="836" spans="1:16" ht="18" hidden="1" customHeight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122"/>
      <c r="J836" s="122"/>
      <c r="K836" s="122"/>
      <c r="L836" s="122"/>
      <c r="M836" s="74">
        <v>5000</v>
      </c>
      <c r="N836" s="75" t="s">
        <v>19</v>
      </c>
      <c r="O836" s="75" t="s">
        <v>54</v>
      </c>
      <c r="P836" s="134" t="str">
        <f>IF(AND('331-CT'!$E$7=TH!H836,OR(N836="331",O836="331")),"x","")</f>
        <v/>
      </c>
    </row>
    <row r="837" spans="1:16" ht="18" hidden="1" customHeight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122"/>
      <c r="J837" s="122"/>
      <c r="K837" s="122"/>
      <c r="L837" s="122"/>
      <c r="M837" s="74">
        <v>50000</v>
      </c>
      <c r="N837" s="75" t="s">
        <v>241</v>
      </c>
      <c r="O837" s="75" t="s">
        <v>54</v>
      </c>
      <c r="P837" s="134" t="str">
        <f>IF(AND('331-CT'!$E$7=TH!H837,OR(N837="331",O837="331")),"x","")</f>
        <v/>
      </c>
    </row>
    <row r="838" spans="1:16" ht="18" hidden="1" customHeight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122"/>
      <c r="J838" s="122"/>
      <c r="K838" s="122"/>
      <c r="L838" s="122"/>
      <c r="M838" s="74">
        <v>5000</v>
      </c>
      <c r="N838" s="75" t="s">
        <v>19</v>
      </c>
      <c r="O838" s="75" t="s">
        <v>54</v>
      </c>
      <c r="P838" s="134" t="str">
        <f>IF(AND('331-CT'!$E$7=TH!H838,OR(N838="331",O838="331")),"x","")</f>
        <v/>
      </c>
    </row>
    <row r="839" spans="1:16" ht="18" hidden="1" customHeight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122"/>
      <c r="J839" s="122"/>
      <c r="K839" s="122"/>
      <c r="L839" s="122"/>
      <c r="M839" s="74">
        <v>55871</v>
      </c>
      <c r="N839" s="75" t="s">
        <v>54</v>
      </c>
      <c r="O839" s="75" t="s">
        <v>99</v>
      </c>
      <c r="P839" s="134" t="str">
        <f>IF(AND('331-CT'!$E$7=TH!H839,OR(N839="331",O839="331")),"x","")</f>
        <v/>
      </c>
    </row>
    <row r="840" spans="1:16" ht="18" customHeight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122"/>
      <c r="J840" s="122"/>
      <c r="K840" s="122"/>
      <c r="L840" s="122"/>
      <c r="M840" s="74">
        <v>400000000</v>
      </c>
      <c r="N840" s="75" t="s">
        <v>18</v>
      </c>
      <c r="O840" s="75" t="s">
        <v>54</v>
      </c>
      <c r="P840" s="134" t="str">
        <f>IF(AND('331-CT'!$E$7=TH!H840,OR(N840="331",O840="331")),"x","")</f>
        <v/>
      </c>
    </row>
    <row r="841" spans="1:16" ht="18" hidden="1" customHeight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122"/>
      <c r="J841" s="122"/>
      <c r="K841" s="122"/>
      <c r="L841" s="122"/>
      <c r="M841" s="74">
        <v>232510</v>
      </c>
      <c r="N841" s="75" t="s">
        <v>241</v>
      </c>
      <c r="O841" s="75" t="s">
        <v>54</v>
      </c>
      <c r="P841" s="134" t="str">
        <f>IF(AND('331-CT'!$E$7=TH!H841,OR(N841="331",O841="331")),"x","")</f>
        <v/>
      </c>
    </row>
    <row r="842" spans="1:16" ht="18" hidden="1" customHeight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122"/>
      <c r="J842" s="122"/>
      <c r="K842" s="122"/>
      <c r="L842" s="122"/>
      <c r="M842" s="74">
        <v>23251</v>
      </c>
      <c r="N842" s="75" t="s">
        <v>19</v>
      </c>
      <c r="O842" s="75" t="s">
        <v>54</v>
      </c>
      <c r="P842" s="134" t="str">
        <f>IF(AND('331-CT'!$E$7=TH!H842,OR(N842="331",O842="331")),"x","")</f>
        <v/>
      </c>
    </row>
    <row r="843" spans="1:16" ht="18" hidden="1" customHeight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314"/>
      <c r="J843" s="314"/>
      <c r="K843" s="314"/>
      <c r="L843" s="314"/>
      <c r="M843" s="74">
        <v>15000000</v>
      </c>
      <c r="N843" s="315" t="s">
        <v>654</v>
      </c>
      <c r="O843" s="315" t="s">
        <v>203</v>
      </c>
      <c r="P843" s="134" t="str">
        <f>IF(AND('331-CT'!$E$7=TH!H843,OR(N843="331",O843="331")),"x","")</f>
        <v/>
      </c>
    </row>
    <row r="844" spans="1:16" ht="18" hidden="1" customHeight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314"/>
      <c r="J844" s="314"/>
      <c r="K844" s="314"/>
      <c r="L844" s="314"/>
      <c r="M844" s="74">
        <v>1500000</v>
      </c>
      <c r="N844" s="315" t="s">
        <v>19</v>
      </c>
      <c r="O844" s="315" t="s">
        <v>203</v>
      </c>
      <c r="P844" s="134" t="str">
        <f>IF(AND('331-CT'!$E$7=TH!H844,OR(N844="331",O844="331")),"x","")</f>
        <v/>
      </c>
    </row>
    <row r="845" spans="1:16" ht="18" hidden="1" customHeight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314"/>
      <c r="J845" s="314"/>
      <c r="K845" s="314"/>
      <c r="L845" s="314"/>
      <c r="M845" s="74">
        <v>600000000</v>
      </c>
      <c r="N845" s="315" t="s">
        <v>54</v>
      </c>
      <c r="O845" s="315" t="s">
        <v>203</v>
      </c>
      <c r="P845" s="134" t="str">
        <f>IF(AND('331-CT'!$E$7=TH!H845,OR(N845="331",O845="331")),"x","")</f>
        <v/>
      </c>
    </row>
    <row r="846" spans="1:16" ht="18" hidden="1" customHeight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314"/>
      <c r="J846" s="314"/>
      <c r="K846" s="314"/>
      <c r="L846" s="314"/>
      <c r="M846" s="74">
        <v>18000000</v>
      </c>
      <c r="N846" s="315" t="s">
        <v>654</v>
      </c>
      <c r="O846" s="315" t="s">
        <v>203</v>
      </c>
      <c r="P846" s="134" t="str">
        <f>IF(AND('331-CT'!$E$7=TH!H846,OR(N846="331",O846="331")),"x","")</f>
        <v/>
      </c>
    </row>
    <row r="847" spans="1:16" ht="18" hidden="1" customHeight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314"/>
      <c r="J847" s="314"/>
      <c r="K847" s="314"/>
      <c r="L847" s="314"/>
      <c r="M847" s="74">
        <v>1800000</v>
      </c>
      <c r="N847" s="315" t="s">
        <v>19</v>
      </c>
      <c r="O847" s="315" t="s">
        <v>203</v>
      </c>
      <c r="P847" s="134" t="str">
        <f>IF(AND('331-CT'!$E$7=TH!H847,OR(N847="331",O847="331")),"x","")</f>
        <v/>
      </c>
    </row>
    <row r="848" spans="1:16" ht="18" hidden="1" customHeight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314"/>
      <c r="J848" s="314"/>
      <c r="K848" s="314"/>
      <c r="L848" s="314"/>
      <c r="M848" s="74">
        <v>68181818</v>
      </c>
      <c r="N848" s="315" t="s">
        <v>654</v>
      </c>
      <c r="O848" s="315" t="s">
        <v>18</v>
      </c>
      <c r="P848" s="134" t="str">
        <f>IF(AND('331-CT'!$E$7=TH!H848,OR(N848="331",O848="331")),"x","")</f>
        <v/>
      </c>
    </row>
    <row r="849" spans="1:16" ht="18" hidden="1" customHeight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314"/>
      <c r="J849" s="314"/>
      <c r="K849" s="314"/>
      <c r="L849" s="314"/>
      <c r="M849" s="74">
        <v>6818182</v>
      </c>
      <c r="N849" s="315" t="s">
        <v>19</v>
      </c>
      <c r="O849" s="315" t="s">
        <v>18</v>
      </c>
      <c r="P849" s="134" t="str">
        <f>IF(AND('331-CT'!$E$7=TH!H849,OR(N849="331",O849="331")),"x","")</f>
        <v/>
      </c>
    </row>
    <row r="850" spans="1:16" ht="18" hidden="1" customHeight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314"/>
      <c r="J850" s="314"/>
      <c r="K850" s="314"/>
      <c r="L850" s="314"/>
      <c r="M850" s="74">
        <v>150000000</v>
      </c>
      <c r="N850" s="315" t="s">
        <v>18</v>
      </c>
      <c r="O850" s="315" t="s">
        <v>54</v>
      </c>
      <c r="P850" s="134" t="str">
        <f>IF(AND('331-CT'!$E$7=TH!H850,OR(N850="331",O850="331")),"x","")</f>
        <v/>
      </c>
    </row>
    <row r="851" spans="1:16" ht="18" hidden="1" customHeight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314"/>
      <c r="J851" s="314"/>
      <c r="K851" s="314"/>
      <c r="L851" s="314"/>
      <c r="M851" s="74">
        <v>112587</v>
      </c>
      <c r="N851" s="315" t="s">
        <v>241</v>
      </c>
      <c r="O851" s="315" t="s">
        <v>54</v>
      </c>
      <c r="P851" s="134" t="str">
        <f>IF(AND('331-CT'!$E$7=TH!H851,OR(N851="331",O851="331")),"x","")</f>
        <v/>
      </c>
    </row>
    <row r="852" spans="1:16" ht="18" hidden="1" customHeight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314"/>
      <c r="J852" s="314"/>
      <c r="K852" s="314"/>
      <c r="L852" s="314"/>
      <c r="M852" s="74">
        <v>11259</v>
      </c>
      <c r="N852" s="315" t="s">
        <v>19</v>
      </c>
      <c r="O852" s="315" t="s">
        <v>54</v>
      </c>
      <c r="P852" s="134" t="str">
        <f>IF(AND('331-CT'!$E$7=TH!H852,OR(N852="331",O852="331")),"x","")</f>
        <v/>
      </c>
    </row>
    <row r="853" spans="1:16" ht="18" hidden="1" customHeight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314"/>
      <c r="J853" s="314"/>
      <c r="K853" s="314"/>
      <c r="L853" s="314"/>
      <c r="M853" s="74">
        <v>400000000</v>
      </c>
      <c r="N853" s="315" t="s">
        <v>18</v>
      </c>
      <c r="O853" s="315" t="s">
        <v>54</v>
      </c>
      <c r="P853" s="134" t="str">
        <f>IF(AND('331-CT'!$E$7=TH!H853,OR(N853="331",O853="331")),"x","")</f>
        <v>x</v>
      </c>
    </row>
    <row r="854" spans="1:16" ht="18" hidden="1" customHeight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314"/>
      <c r="J854" s="314"/>
      <c r="K854" s="314"/>
      <c r="L854" s="314"/>
      <c r="M854" s="74">
        <v>320000</v>
      </c>
      <c r="N854" s="315" t="s">
        <v>241</v>
      </c>
      <c r="O854" s="315" t="s">
        <v>54</v>
      </c>
      <c r="P854" s="134" t="str">
        <f>IF(AND('331-CT'!$E$7=TH!H854,OR(N854="331",O854="331")),"x","")</f>
        <v/>
      </c>
    </row>
    <row r="855" spans="1:16" ht="18" hidden="1" customHeight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314"/>
      <c r="J855" s="314"/>
      <c r="K855" s="314"/>
      <c r="L855" s="314"/>
      <c r="M855" s="74">
        <v>32000</v>
      </c>
      <c r="N855" s="315" t="s">
        <v>19</v>
      </c>
      <c r="O855" s="315" t="s">
        <v>54</v>
      </c>
      <c r="P855" s="134" t="str">
        <f>IF(AND('331-CT'!$E$7=TH!H855,OR(N855="331",O855="331")),"x","")</f>
        <v/>
      </c>
    </row>
    <row r="856" spans="1:16" ht="18" hidden="1" customHeight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314"/>
      <c r="J856" s="314"/>
      <c r="K856" s="314"/>
      <c r="L856" s="314"/>
      <c r="M856" s="74">
        <v>18000000</v>
      </c>
      <c r="N856" s="315" t="s">
        <v>654</v>
      </c>
      <c r="O856" s="315" t="s">
        <v>203</v>
      </c>
      <c r="P856" s="134" t="str">
        <f>IF(AND('331-CT'!$E$7=TH!H856,OR(N856="331",O856="331")),"x","")</f>
        <v/>
      </c>
    </row>
    <row r="857" spans="1:16" ht="18" hidden="1" customHeight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314"/>
      <c r="J857" s="314"/>
      <c r="K857" s="314"/>
      <c r="L857" s="314"/>
      <c r="M857" s="74">
        <v>1800000</v>
      </c>
      <c r="N857" s="315" t="s">
        <v>19</v>
      </c>
      <c r="O857" s="315" t="s">
        <v>203</v>
      </c>
      <c r="P857" s="134" t="str">
        <f>IF(AND('331-CT'!$E$7=TH!H857,OR(N857="331",O857="331")),"x","")</f>
        <v/>
      </c>
    </row>
    <row r="858" spans="1:16" ht="18" hidden="1" customHeight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314"/>
      <c r="J858" s="314"/>
      <c r="K858" s="314"/>
      <c r="L858" s="314"/>
      <c r="M858" s="74">
        <v>18000000</v>
      </c>
      <c r="N858" s="315" t="s">
        <v>654</v>
      </c>
      <c r="O858" s="315" t="s">
        <v>203</v>
      </c>
      <c r="P858" s="134" t="str">
        <f>IF(AND('331-CT'!$E$7=TH!H858,OR(N858="331",O858="331")),"x","")</f>
        <v/>
      </c>
    </row>
    <row r="859" spans="1:16" ht="18" hidden="1" customHeight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314"/>
      <c r="J859" s="314"/>
      <c r="K859" s="314"/>
      <c r="L859" s="314"/>
      <c r="M859" s="74">
        <v>1800000</v>
      </c>
      <c r="N859" s="315" t="s">
        <v>19</v>
      </c>
      <c r="O859" s="315" t="s">
        <v>203</v>
      </c>
      <c r="P859" s="134" t="str">
        <f>IF(AND('331-CT'!$E$7=TH!H859,OR(N859="331",O859="331")),"x","")</f>
        <v/>
      </c>
    </row>
    <row r="860" spans="1:16" ht="18" hidden="1" customHeight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314"/>
      <c r="J860" s="314"/>
      <c r="K860" s="314"/>
      <c r="L860" s="314"/>
      <c r="M860" s="74">
        <v>7848182</v>
      </c>
      <c r="N860" s="315" t="s">
        <v>654</v>
      </c>
      <c r="O860" s="315" t="s">
        <v>203</v>
      </c>
      <c r="P860" s="134" t="str">
        <f>IF(AND('331-CT'!$E$7=TH!H860,OR(N860="331",O860="331")),"x","")</f>
        <v/>
      </c>
    </row>
    <row r="861" spans="1:16" ht="18" hidden="1" customHeight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314"/>
      <c r="J861" s="314"/>
      <c r="K861" s="314"/>
      <c r="L861" s="314"/>
      <c r="M861" s="74">
        <v>784818</v>
      </c>
      <c r="N861" s="315" t="s">
        <v>19</v>
      </c>
      <c r="O861" s="315" t="s">
        <v>203</v>
      </c>
      <c r="P861" s="134" t="str">
        <f>IF(AND('331-CT'!$E$7=TH!H861,OR(N861="331",O861="331")),"x","")</f>
        <v/>
      </c>
    </row>
    <row r="862" spans="1:16" ht="18" hidden="1" customHeight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9"/>
      <c r="J862" s="9"/>
      <c r="K862" s="9"/>
      <c r="L862" s="9"/>
      <c r="M862" s="74">
        <v>6666364</v>
      </c>
      <c r="N862" s="315" t="s">
        <v>654</v>
      </c>
      <c r="O862" s="315" t="s">
        <v>203</v>
      </c>
      <c r="P862" s="134" t="str">
        <f>IF(AND('331-CT'!$E$7=TH!H862,OR(N862="331",O862="331")),"x","")</f>
        <v/>
      </c>
    </row>
    <row r="863" spans="1:16" ht="18" hidden="1" customHeight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314"/>
      <c r="J863" s="314"/>
      <c r="K863" s="314"/>
      <c r="L863" s="314"/>
      <c r="M863" s="74">
        <v>666636</v>
      </c>
      <c r="N863" s="315" t="s">
        <v>19</v>
      </c>
      <c r="O863" s="315" t="s">
        <v>203</v>
      </c>
      <c r="P863" s="134" t="str">
        <f>IF(AND('331-CT'!$E$7=TH!H863,OR(N863="331",O863="331")),"x","")</f>
        <v/>
      </c>
    </row>
    <row r="864" spans="1:16" ht="18" hidden="1" customHeight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314"/>
      <c r="J864" s="314"/>
      <c r="K864" s="314"/>
      <c r="L864" s="314"/>
      <c r="M864" s="74">
        <v>18000000</v>
      </c>
      <c r="N864" s="315" t="s">
        <v>654</v>
      </c>
      <c r="O864" s="315" t="s">
        <v>203</v>
      </c>
      <c r="P864" s="134" t="str">
        <f>IF(AND('331-CT'!$E$7=TH!H864,OR(N864="331",O864="331")),"x","")</f>
        <v/>
      </c>
    </row>
    <row r="865" spans="1:16" ht="18" hidden="1" customHeight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122"/>
      <c r="J865" s="122"/>
      <c r="K865" s="122"/>
      <c r="L865" s="122"/>
      <c r="M865" s="74">
        <v>1800000</v>
      </c>
      <c r="N865" s="75" t="s">
        <v>19</v>
      </c>
      <c r="O865" s="75" t="s">
        <v>203</v>
      </c>
      <c r="P865" s="134" t="str">
        <f>IF(AND('331-CT'!$E$7=TH!H865,OR(N865="331",O865="331")),"x","")</f>
        <v/>
      </c>
    </row>
    <row r="866" spans="1:16" ht="18" hidden="1" customHeight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122"/>
      <c r="J866" s="122"/>
      <c r="K866" s="122"/>
      <c r="L866" s="122"/>
      <c r="M866" s="74">
        <v>5181818</v>
      </c>
      <c r="N866" s="75" t="s">
        <v>654</v>
      </c>
      <c r="O866" s="75" t="s">
        <v>203</v>
      </c>
      <c r="P866" s="134" t="str">
        <f>IF(AND('331-CT'!$E$7=TH!H866,OR(N866="331",O866="331")),"x","")</f>
        <v/>
      </c>
    </row>
    <row r="867" spans="1:16" ht="18" hidden="1" customHeight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314"/>
      <c r="J867" s="314"/>
      <c r="K867" s="314"/>
      <c r="L867" s="314"/>
      <c r="M867" s="74">
        <v>518182</v>
      </c>
      <c r="N867" s="315" t="s">
        <v>19</v>
      </c>
      <c r="O867" s="315" t="s">
        <v>203</v>
      </c>
      <c r="P867" s="134" t="str">
        <f>IF(AND('331-CT'!$E$7=TH!H867,OR(N867="331",O867="331")),"x","")</f>
        <v/>
      </c>
    </row>
    <row r="868" spans="1:16" ht="18" hidden="1" customHeight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314"/>
      <c r="J868" s="314"/>
      <c r="K868" s="314"/>
      <c r="L868" s="314"/>
      <c r="M868" s="74">
        <v>20382000</v>
      </c>
      <c r="N868" s="315" t="s">
        <v>654</v>
      </c>
      <c r="O868" s="315" t="s">
        <v>18</v>
      </c>
      <c r="P868" s="134" t="str">
        <f>IF(AND('331-CT'!$E$7=TH!H868,OR(N868="331",O868="331")),"x","")</f>
        <v/>
      </c>
    </row>
    <row r="869" spans="1:16" ht="18" hidden="1" customHeight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314"/>
      <c r="J869" s="314"/>
      <c r="K869" s="314"/>
      <c r="L869" s="314"/>
      <c r="M869" s="74">
        <v>15000000</v>
      </c>
      <c r="N869" s="315" t="s">
        <v>654</v>
      </c>
      <c r="O869" s="315" t="s">
        <v>203</v>
      </c>
      <c r="P869" s="134" t="str">
        <f>IF(AND('331-CT'!$E$7=TH!H869,OR(N869="331",O869="331")),"x","")</f>
        <v/>
      </c>
    </row>
    <row r="870" spans="1:16" ht="18" hidden="1" customHeight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314"/>
      <c r="J870" s="314"/>
      <c r="K870" s="314"/>
      <c r="L870" s="314"/>
      <c r="M870" s="74">
        <v>1500000</v>
      </c>
      <c r="N870" s="315" t="s">
        <v>19</v>
      </c>
      <c r="O870" s="315" t="s">
        <v>203</v>
      </c>
      <c r="P870" s="134" t="str">
        <f>IF(AND('331-CT'!$E$7=TH!H870,OR(N870="331",O870="331")),"x","")</f>
        <v/>
      </c>
    </row>
    <row r="871" spans="1:16" ht="18" hidden="1" customHeight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314"/>
      <c r="J871" s="314"/>
      <c r="K871" s="314"/>
      <c r="L871" s="314"/>
      <c r="M871" s="74">
        <v>400000</v>
      </c>
      <c r="N871" s="315" t="s">
        <v>654</v>
      </c>
      <c r="O871" s="315" t="s">
        <v>203</v>
      </c>
      <c r="P871" s="134" t="str">
        <f>IF(AND('331-CT'!$E$7=TH!H871,OR(N871="331",O871="331")),"x","")</f>
        <v/>
      </c>
    </row>
    <row r="872" spans="1:16" ht="18" hidden="1" customHeight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9"/>
      <c r="J872" s="9"/>
      <c r="K872" s="9"/>
      <c r="L872" s="9"/>
      <c r="M872" s="74">
        <v>2650000</v>
      </c>
      <c r="N872" s="315" t="s">
        <v>654</v>
      </c>
      <c r="O872" s="315" t="s">
        <v>203</v>
      </c>
      <c r="P872" s="134" t="str">
        <f>IF(AND('331-CT'!$E$7=TH!H872,OR(N872="331",O872="331")),"x","")</f>
        <v/>
      </c>
    </row>
    <row r="873" spans="1:16" ht="18" hidden="1" customHeight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314"/>
      <c r="J873" s="314"/>
      <c r="K873" s="314"/>
      <c r="L873" s="314"/>
      <c r="M873" s="74">
        <v>265000</v>
      </c>
      <c r="N873" s="315" t="s">
        <v>19</v>
      </c>
      <c r="O873" s="315" t="s">
        <v>203</v>
      </c>
      <c r="P873" s="134" t="str">
        <f>IF(AND('331-CT'!$E$7=TH!H873,OR(N873="331",O873="331")),"x","")</f>
        <v/>
      </c>
    </row>
    <row r="874" spans="1:16" ht="18" hidden="1" customHeight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314"/>
      <c r="J874" s="314"/>
      <c r="K874" s="314"/>
      <c r="L874" s="314"/>
      <c r="M874" s="74">
        <v>1338182</v>
      </c>
      <c r="N874" s="315" t="s">
        <v>654</v>
      </c>
      <c r="O874" s="315" t="s">
        <v>203</v>
      </c>
      <c r="P874" s="134" t="str">
        <f>IF(AND('331-CT'!$E$7=TH!H874,OR(N874="331",O874="331")),"x","")</f>
        <v/>
      </c>
    </row>
    <row r="875" spans="1:16" ht="18" hidden="1" customHeight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9"/>
      <c r="J875" s="9"/>
      <c r="K875" s="9"/>
      <c r="L875" s="9"/>
      <c r="M875" s="74">
        <v>133818</v>
      </c>
      <c r="N875" s="315" t="s">
        <v>19</v>
      </c>
      <c r="O875" s="315" t="s">
        <v>203</v>
      </c>
      <c r="P875" s="134" t="str">
        <f>IF(AND('331-CT'!$E$7=TH!H875,OR(N875="331",O875="331")),"x","")</f>
        <v/>
      </c>
    </row>
    <row r="876" spans="1:16" ht="18" hidden="1" customHeight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314"/>
      <c r="J876" s="314"/>
      <c r="K876" s="314"/>
      <c r="L876" s="314"/>
      <c r="M876" s="74">
        <v>30000000</v>
      </c>
      <c r="N876" s="315" t="s">
        <v>18</v>
      </c>
      <c r="O876" s="315" t="s">
        <v>54</v>
      </c>
      <c r="P876" s="134" t="str">
        <f>IF(AND('331-CT'!$E$7=TH!H876,OR(N876="331",O876="331")),"x","")</f>
        <v/>
      </c>
    </row>
    <row r="877" spans="1:16" ht="18" hidden="1" customHeight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314"/>
      <c r="J877" s="314"/>
      <c r="K877" s="314"/>
      <c r="L877" s="314"/>
      <c r="M877" s="74">
        <v>25000</v>
      </c>
      <c r="N877" s="315" t="s">
        <v>241</v>
      </c>
      <c r="O877" s="315" t="s">
        <v>54</v>
      </c>
      <c r="P877" s="134" t="str">
        <f>IF(AND('331-CT'!$E$7=TH!H877,OR(N877="331",O877="331")),"x","")</f>
        <v/>
      </c>
    </row>
    <row r="878" spans="1:16" ht="18" hidden="1" customHeight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314"/>
      <c r="J878" s="314"/>
      <c r="K878" s="314"/>
      <c r="L878" s="314"/>
      <c r="M878" s="74">
        <v>2500</v>
      </c>
      <c r="N878" s="315" t="s">
        <v>19</v>
      </c>
      <c r="O878" s="315" t="s">
        <v>54</v>
      </c>
      <c r="P878" s="134" t="str">
        <f>IF(AND('331-CT'!$E$7=TH!H878,OR(N878="331",O878="331")),"x","")</f>
        <v/>
      </c>
    </row>
    <row r="879" spans="1:16" ht="18" hidden="1" customHeight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314"/>
      <c r="J879" s="314"/>
      <c r="K879" s="314"/>
      <c r="L879" s="314"/>
      <c r="M879" s="74">
        <v>1882000</v>
      </c>
      <c r="N879" s="315" t="s">
        <v>654</v>
      </c>
      <c r="O879" s="315" t="s">
        <v>203</v>
      </c>
      <c r="P879" s="134" t="str">
        <f>IF(AND('331-CT'!$E$7=TH!H879,OR(N879="331",O879="331")),"x","")</f>
        <v/>
      </c>
    </row>
    <row r="880" spans="1:16" ht="18" hidden="1" customHeight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314"/>
      <c r="J880" s="314"/>
      <c r="K880" s="314"/>
      <c r="L880" s="314"/>
      <c r="M880" s="74">
        <v>15000000</v>
      </c>
      <c r="N880" s="315" t="s">
        <v>654</v>
      </c>
      <c r="O880" s="315" t="s">
        <v>203</v>
      </c>
      <c r="P880" s="134" t="str">
        <f>IF(AND('331-CT'!$E$7=TH!H880,OR(N880="331",O880="331")),"x","")</f>
        <v/>
      </c>
    </row>
    <row r="881" spans="1:16" ht="18" hidden="1" customHeight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314"/>
      <c r="J881" s="314"/>
      <c r="K881" s="314"/>
      <c r="L881" s="314"/>
      <c r="M881" s="74">
        <v>1500000</v>
      </c>
      <c r="N881" s="315" t="s">
        <v>19</v>
      </c>
      <c r="O881" s="315" t="s">
        <v>203</v>
      </c>
      <c r="P881" s="134" t="str">
        <f>IF(AND('331-CT'!$E$7=TH!H881,OR(N881="331",O881="331")),"x","")</f>
        <v/>
      </c>
    </row>
    <row r="882" spans="1:16" ht="18" hidden="1" customHeight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314"/>
      <c r="J882" s="314"/>
      <c r="K882" s="314"/>
      <c r="L882" s="314"/>
      <c r="M882" s="74">
        <v>19200000</v>
      </c>
      <c r="N882" s="315" t="s">
        <v>654</v>
      </c>
      <c r="O882" s="315" t="s">
        <v>203</v>
      </c>
      <c r="P882" s="134" t="str">
        <f>IF(AND('331-CT'!$E$7=TH!H882,OR(N882="331",O882="331")),"x","")</f>
        <v/>
      </c>
    </row>
    <row r="883" spans="1:16" ht="18" hidden="1" customHeight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314"/>
      <c r="J883" s="314"/>
      <c r="K883" s="314"/>
      <c r="L883" s="314"/>
      <c r="M883" s="74">
        <v>17478660</v>
      </c>
      <c r="N883" s="315" t="s">
        <v>654</v>
      </c>
      <c r="O883" s="315" t="s">
        <v>203</v>
      </c>
      <c r="P883" s="134" t="str">
        <f>IF(AND('331-CT'!$E$7=TH!H883,OR(N883="331",O883="331")),"x","")</f>
        <v/>
      </c>
    </row>
    <row r="884" spans="1:16" ht="18" hidden="1" customHeight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314"/>
      <c r="J884" s="314"/>
      <c r="K884" s="314"/>
      <c r="L884" s="314"/>
      <c r="M884" s="74">
        <v>1747866</v>
      </c>
      <c r="N884" s="315" t="s">
        <v>19</v>
      </c>
      <c r="O884" s="315" t="s">
        <v>203</v>
      </c>
      <c r="P884" s="134" t="str">
        <f>IF(AND('331-CT'!$E$7=TH!H884,OR(N884="331",O884="331")),"x","")</f>
        <v/>
      </c>
    </row>
    <row r="885" spans="1:16" ht="18" hidden="1" customHeight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314"/>
      <c r="J885" s="314"/>
      <c r="K885" s="314"/>
      <c r="L885" s="314"/>
      <c r="M885" s="74">
        <v>18000000</v>
      </c>
      <c r="N885" s="315" t="s">
        <v>654</v>
      </c>
      <c r="O885" s="315" t="s">
        <v>203</v>
      </c>
      <c r="P885" s="134" t="str">
        <f>IF(AND('331-CT'!$E$7=TH!H885,OR(N885="331",O885="331")),"x","")</f>
        <v/>
      </c>
    </row>
    <row r="886" spans="1:16" ht="18" hidden="1" customHeight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314"/>
      <c r="J886" s="314"/>
      <c r="K886" s="314"/>
      <c r="L886" s="314"/>
      <c r="M886" s="74">
        <v>14553800</v>
      </c>
      <c r="N886" s="315" t="s">
        <v>241</v>
      </c>
      <c r="O886" s="315" t="s">
        <v>18</v>
      </c>
      <c r="P886" s="134" t="str">
        <f>IF(AND('331-CT'!$E$7=TH!H886,OR(N886="331",O886="331")),"x","")</f>
        <v/>
      </c>
    </row>
    <row r="887" spans="1:16" ht="18" hidden="1" customHeight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314"/>
      <c r="J887" s="314"/>
      <c r="K887" s="314"/>
      <c r="L887" s="314"/>
      <c r="M887" s="74">
        <v>1455380</v>
      </c>
      <c r="N887" s="315" t="s">
        <v>19</v>
      </c>
      <c r="O887" s="315" t="s">
        <v>18</v>
      </c>
      <c r="P887" s="134" t="str">
        <f>IF(AND('331-CT'!$E$7=TH!H887,OR(N887="331",O887="331")),"x","")</f>
        <v/>
      </c>
    </row>
    <row r="888" spans="1:16" ht="18" hidden="1" customHeight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314"/>
      <c r="J888" s="314"/>
      <c r="K888" s="314"/>
      <c r="L888" s="314"/>
      <c r="M888" s="74">
        <v>855763</v>
      </c>
      <c r="N888" s="315" t="s">
        <v>241</v>
      </c>
      <c r="O888" s="315" t="s">
        <v>18</v>
      </c>
      <c r="P888" s="134" t="str">
        <f>IF(AND('331-CT'!$E$7=TH!H888,OR(N888="331",O888="331")),"x","")</f>
        <v/>
      </c>
    </row>
    <row r="889" spans="1:16" ht="18" hidden="1" customHeight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314"/>
      <c r="J889" s="314"/>
      <c r="K889" s="314"/>
      <c r="L889" s="314"/>
      <c r="M889" s="74">
        <v>85576</v>
      </c>
      <c r="N889" s="315" t="s">
        <v>19</v>
      </c>
      <c r="O889" s="315" t="s">
        <v>18</v>
      </c>
      <c r="P889" s="134" t="str">
        <f>IF(AND('331-CT'!$E$7=TH!H889,OR(N889="331",O889="331")),"x","")</f>
        <v/>
      </c>
    </row>
    <row r="890" spans="1:16" ht="18" hidden="1" customHeight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314"/>
      <c r="J890" s="314"/>
      <c r="K890" s="314"/>
      <c r="L890" s="314"/>
      <c r="M890" s="74">
        <v>10000000</v>
      </c>
      <c r="N890" s="315" t="s">
        <v>654</v>
      </c>
      <c r="O890" s="315" t="s">
        <v>203</v>
      </c>
      <c r="P890" s="134" t="str">
        <f>IF(AND('331-CT'!$E$7=TH!H890,OR(N890="331",O890="331")),"x","")</f>
        <v/>
      </c>
    </row>
    <row r="891" spans="1:16" ht="18" hidden="1" customHeight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122"/>
      <c r="J891" s="122"/>
      <c r="K891" s="122"/>
      <c r="L891" s="122"/>
      <c r="M891" s="74">
        <v>1000000</v>
      </c>
      <c r="N891" s="75" t="s">
        <v>19</v>
      </c>
      <c r="O891" s="75" t="s">
        <v>203</v>
      </c>
      <c r="P891" s="134" t="str">
        <f>IF(AND('331-CT'!$E$7=TH!H891,OR(N891="331",O891="331")),"x","")</f>
        <v/>
      </c>
    </row>
    <row r="892" spans="1:16" ht="18" hidden="1" customHeight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122"/>
      <c r="J892" s="122"/>
      <c r="K892" s="122"/>
      <c r="L892" s="122"/>
      <c r="M892" s="74">
        <v>15000000</v>
      </c>
      <c r="N892" s="75" t="s">
        <v>654</v>
      </c>
      <c r="O892" s="75" t="s">
        <v>203</v>
      </c>
      <c r="P892" s="134" t="str">
        <f>IF(AND('331-CT'!$E$7=TH!H892,OR(N892="331",O892="331")),"x","")</f>
        <v/>
      </c>
    </row>
    <row r="893" spans="1:16" ht="18" hidden="1" customHeight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314"/>
      <c r="J893" s="314"/>
      <c r="K893" s="314"/>
      <c r="L893" s="314"/>
      <c r="M893" s="74">
        <v>1500000</v>
      </c>
      <c r="N893" s="315" t="s">
        <v>19</v>
      </c>
      <c r="O893" s="315" t="s">
        <v>203</v>
      </c>
      <c r="P893" s="134" t="str">
        <f>IF(AND('331-CT'!$E$7=TH!H893,OR(N893="331",O893="331")),"x","")</f>
        <v/>
      </c>
    </row>
    <row r="894" spans="1:16" ht="18" hidden="1" customHeight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314"/>
      <c r="J894" s="314"/>
      <c r="K894" s="314"/>
      <c r="L894" s="314"/>
      <c r="M894" s="74">
        <v>17985000</v>
      </c>
      <c r="N894" s="315" t="s">
        <v>654</v>
      </c>
      <c r="O894" s="315" t="s">
        <v>203</v>
      </c>
      <c r="P894" s="134" t="str">
        <f>IF(AND('331-CT'!$E$7=TH!H894,OR(N894="331",O894="331")),"x","")</f>
        <v/>
      </c>
    </row>
    <row r="895" spans="1:16" ht="18" hidden="1" customHeight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314"/>
      <c r="J895" s="314"/>
      <c r="K895" s="314"/>
      <c r="L895" s="314"/>
      <c r="M895" s="74">
        <v>1798500</v>
      </c>
      <c r="N895" s="315" t="s">
        <v>19</v>
      </c>
      <c r="O895" s="315" t="s">
        <v>203</v>
      </c>
      <c r="P895" s="134" t="str">
        <f>IF(AND('331-CT'!$E$7=TH!H895,OR(N895="331",O895="331")),"x","")</f>
        <v/>
      </c>
    </row>
    <row r="896" spans="1:16" ht="18" hidden="1" customHeight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314"/>
      <c r="J896" s="314"/>
      <c r="K896" s="314"/>
      <c r="L896" s="314"/>
      <c r="M896" s="74">
        <v>11999996</v>
      </c>
      <c r="N896" s="315" t="s">
        <v>654</v>
      </c>
      <c r="O896" s="315" t="s">
        <v>203</v>
      </c>
      <c r="P896" s="134" t="str">
        <f>IF(AND('331-CT'!$E$7=TH!H896,OR(N896="331",O896="331")),"x","")</f>
        <v/>
      </c>
    </row>
    <row r="897" spans="1:16" ht="18" hidden="1" customHeight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314"/>
      <c r="J897" s="314"/>
      <c r="K897" s="314"/>
      <c r="L897" s="314"/>
      <c r="M897" s="74">
        <v>1199999</v>
      </c>
      <c r="N897" s="315" t="s">
        <v>19</v>
      </c>
      <c r="O897" s="315" t="s">
        <v>203</v>
      </c>
      <c r="P897" s="134" t="str">
        <f>IF(AND('331-CT'!$E$7=TH!H897,OR(N897="331",O897="331")),"x","")</f>
        <v/>
      </c>
    </row>
    <row r="898" spans="1:16" ht="18" hidden="1" customHeight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314"/>
      <c r="J898" s="314"/>
      <c r="K898" s="314"/>
      <c r="L898" s="314"/>
      <c r="M898" s="74">
        <v>17985000</v>
      </c>
      <c r="N898" s="315" t="s">
        <v>654</v>
      </c>
      <c r="O898" s="315" t="s">
        <v>203</v>
      </c>
      <c r="P898" s="134" t="str">
        <f>IF(AND('331-CT'!$E$7=TH!H898,OR(N898="331",O898="331")),"x","")</f>
        <v/>
      </c>
    </row>
    <row r="899" spans="1:16" ht="18" hidden="1" customHeight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314"/>
      <c r="J899" s="314"/>
      <c r="K899" s="314"/>
      <c r="L899" s="314"/>
      <c r="M899" s="74">
        <v>1798500</v>
      </c>
      <c r="N899" s="315" t="s">
        <v>19</v>
      </c>
      <c r="O899" s="315" t="s">
        <v>203</v>
      </c>
      <c r="P899" s="134" t="str">
        <f>IF(AND('331-CT'!$E$7=TH!H899,OR(N899="331",O899="331")),"x","")</f>
        <v/>
      </c>
    </row>
    <row r="900" spans="1:16" ht="18" hidden="1" customHeight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314"/>
      <c r="J900" s="314"/>
      <c r="K900" s="314"/>
      <c r="L900" s="314"/>
      <c r="M900" s="74">
        <v>2900800</v>
      </c>
      <c r="N900" s="315" t="s">
        <v>241</v>
      </c>
      <c r="O900" s="315" t="s">
        <v>203</v>
      </c>
      <c r="P900" s="134" t="str">
        <f>IF(AND('331-CT'!$E$7=TH!H900,OR(N900="331",O900="331")),"x","")</f>
        <v/>
      </c>
    </row>
    <row r="901" spans="1:16" ht="18" hidden="1" customHeight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314"/>
      <c r="J901" s="314"/>
      <c r="K901" s="314"/>
      <c r="L901" s="314"/>
      <c r="M901" s="74">
        <v>145040</v>
      </c>
      <c r="N901" s="315" t="s">
        <v>19</v>
      </c>
      <c r="O901" s="315" t="s">
        <v>203</v>
      </c>
      <c r="P901" s="134" t="str">
        <f>IF(AND('331-CT'!$E$7=TH!H901,OR(N901="331",O901="331")),"x","")</f>
        <v/>
      </c>
    </row>
    <row r="902" spans="1:16" ht="18" hidden="1" customHeight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122"/>
      <c r="J902" s="122"/>
      <c r="K902" s="122"/>
      <c r="L902" s="122"/>
      <c r="M902" s="74">
        <v>150000000</v>
      </c>
      <c r="N902" s="75" t="s">
        <v>54</v>
      </c>
      <c r="O902" s="75" t="s">
        <v>203</v>
      </c>
      <c r="P902" s="134" t="str">
        <f>IF(AND('331-CT'!$E$7=TH!H902,OR(N902="331",O902="331")),"x","")</f>
        <v/>
      </c>
    </row>
    <row r="903" spans="1:16" ht="18" customHeight="1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122"/>
      <c r="J903" s="122"/>
      <c r="K903" s="122"/>
      <c r="L903" s="122"/>
      <c r="M903" s="74">
        <v>150000000</v>
      </c>
      <c r="N903" s="75" t="s">
        <v>18</v>
      </c>
      <c r="O903" s="75" t="s">
        <v>54</v>
      </c>
      <c r="P903" s="134" t="str">
        <f>IF(AND('331-CT'!$E$7=TH!H903,OR(N903="331",O903="331")),"x","")</f>
        <v/>
      </c>
    </row>
    <row r="904" spans="1:16" ht="18" hidden="1" customHeight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314"/>
      <c r="J904" s="314"/>
      <c r="K904" s="314"/>
      <c r="L904" s="314"/>
      <c r="M904" s="74">
        <v>106738</v>
      </c>
      <c r="N904" s="315" t="s">
        <v>241</v>
      </c>
      <c r="O904" s="315" t="s">
        <v>54</v>
      </c>
      <c r="P904" s="134" t="str">
        <f>IF(AND('331-CT'!$E$7=TH!H904,OR(N904="331",O904="331")),"x","")</f>
        <v/>
      </c>
    </row>
    <row r="905" spans="1:16" ht="18" hidden="1" customHeight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314"/>
      <c r="J905" s="314"/>
      <c r="K905" s="314"/>
      <c r="L905" s="314"/>
      <c r="M905" s="74">
        <v>10674</v>
      </c>
      <c r="N905" s="315" t="s">
        <v>19</v>
      </c>
      <c r="O905" s="315" t="s">
        <v>54</v>
      </c>
      <c r="P905" s="134" t="str">
        <f>IF(AND('331-CT'!$E$7=TH!H905,OR(N905="331",O905="331")),"x","")</f>
        <v/>
      </c>
    </row>
    <row r="906" spans="1:16" ht="18" hidden="1" customHeight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314"/>
      <c r="J906" s="314"/>
      <c r="K906" s="314"/>
      <c r="L906" s="314"/>
      <c r="M906" s="74">
        <v>15000000</v>
      </c>
      <c r="N906" s="315" t="s">
        <v>654</v>
      </c>
      <c r="O906" s="315" t="s">
        <v>203</v>
      </c>
      <c r="P906" s="134" t="str">
        <f>IF(AND('331-CT'!$E$7=TH!H906,OR(N906="331",O906="331")),"x","")</f>
        <v/>
      </c>
    </row>
    <row r="907" spans="1:16" ht="18" hidden="1" customHeight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314"/>
      <c r="J907" s="314"/>
      <c r="K907" s="314"/>
      <c r="L907" s="314"/>
      <c r="M907" s="74">
        <v>1500000</v>
      </c>
      <c r="N907" s="315" t="s">
        <v>19</v>
      </c>
      <c r="O907" s="315" t="s">
        <v>203</v>
      </c>
      <c r="P907" s="134" t="str">
        <f>IF(AND('331-CT'!$E$7=TH!H907,OR(N907="331",O907="331")),"x","")</f>
        <v/>
      </c>
    </row>
    <row r="908" spans="1:16" ht="18" hidden="1" customHeight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314"/>
      <c r="J908" s="314"/>
      <c r="K908" s="314"/>
      <c r="L908" s="314"/>
      <c r="M908" s="74">
        <v>17985000</v>
      </c>
      <c r="N908" s="315" t="s">
        <v>654</v>
      </c>
      <c r="O908" s="315" t="s">
        <v>203</v>
      </c>
      <c r="P908" s="134" t="str">
        <f>IF(AND('331-CT'!$E$7=TH!H908,OR(N908="331",O908="331")),"x","")</f>
        <v/>
      </c>
    </row>
    <row r="909" spans="1:16" ht="18" hidden="1" customHeight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314"/>
      <c r="J909" s="314"/>
      <c r="K909" s="314"/>
      <c r="L909" s="314"/>
      <c r="M909" s="74">
        <v>1798500</v>
      </c>
      <c r="N909" s="315" t="s">
        <v>19</v>
      </c>
      <c r="O909" s="315" t="s">
        <v>203</v>
      </c>
      <c r="P909" s="134" t="str">
        <f>IF(AND('331-CT'!$E$7=TH!H909,OR(N909="331",O909="331")),"x","")</f>
        <v/>
      </c>
    </row>
    <row r="910" spans="1:16" ht="18" hidden="1" customHeight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314"/>
      <c r="J910" s="314"/>
      <c r="K910" s="314"/>
      <c r="L910" s="314"/>
      <c r="M910" s="74">
        <v>1000000000</v>
      </c>
      <c r="N910" s="315" t="s">
        <v>203</v>
      </c>
      <c r="O910" s="315" t="s">
        <v>39</v>
      </c>
      <c r="P910" s="134" t="str">
        <f>IF(AND('331-CT'!$E$7=TH!H910,OR(N910="331",O910="331")),"x","")</f>
        <v/>
      </c>
    </row>
    <row r="911" spans="1:16" ht="18" hidden="1" customHeight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314"/>
      <c r="J911" s="314"/>
      <c r="K911" s="314"/>
      <c r="L911" s="314"/>
      <c r="M911" s="74">
        <v>16950519</v>
      </c>
      <c r="N911" s="315" t="s">
        <v>212</v>
      </c>
      <c r="O911" s="315" t="s">
        <v>54</v>
      </c>
      <c r="P911" s="134" t="str">
        <f>IF(AND('331-CT'!$E$7=TH!H911,OR(N911="331",O911="331")),"x","")</f>
        <v/>
      </c>
    </row>
    <row r="912" spans="1:16" ht="18" hidden="1" customHeight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314"/>
      <c r="J912" s="314"/>
      <c r="K912" s="314"/>
      <c r="L912" s="314"/>
      <c r="M912" s="74">
        <v>45000</v>
      </c>
      <c r="N912" s="315" t="s">
        <v>241</v>
      </c>
      <c r="O912" s="315" t="s">
        <v>54</v>
      </c>
      <c r="P912" s="134" t="str">
        <f>IF(AND('331-CT'!$E$7=TH!H912,OR(N912="331",O912="331")),"x","")</f>
        <v/>
      </c>
    </row>
    <row r="913" spans="1:16" ht="18" hidden="1" customHeight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314"/>
      <c r="J913" s="314"/>
      <c r="K913" s="314"/>
      <c r="L913" s="314"/>
      <c r="M913" s="74">
        <v>4500</v>
      </c>
      <c r="N913" s="315" t="s">
        <v>19</v>
      </c>
      <c r="O913" s="315" t="s">
        <v>54</v>
      </c>
      <c r="P913" s="134" t="str">
        <f>IF(AND('331-CT'!$E$7=TH!H913,OR(N913="331",O913="331")),"x","")</f>
        <v/>
      </c>
    </row>
    <row r="914" spans="1:16" ht="18" hidden="1" customHeight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320"/>
      <c r="J914" s="320"/>
      <c r="K914" s="320"/>
      <c r="L914" s="320"/>
      <c r="M914" s="133">
        <v>16950519</v>
      </c>
      <c r="N914" s="321" t="s">
        <v>54</v>
      </c>
      <c r="O914" s="321" t="s">
        <v>212</v>
      </c>
      <c r="P914" s="134" t="str">
        <f>IF(AND('331-CT'!$E$7=TH!H914,OR(N914="331",O914="331")),"x","")</f>
        <v/>
      </c>
    </row>
    <row r="915" spans="1:16" ht="18" hidden="1" customHeight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314"/>
      <c r="J915" s="314"/>
      <c r="K915" s="314"/>
      <c r="L915" s="314"/>
      <c r="M915" s="74">
        <v>16950519</v>
      </c>
      <c r="N915" s="315" t="s">
        <v>18</v>
      </c>
      <c r="O915" s="315" t="s">
        <v>54</v>
      </c>
      <c r="P915" s="134" t="str">
        <f>IF(AND('331-CT'!$E$7=TH!H915,OR(N915="331",O915="331")),"x","")</f>
        <v/>
      </c>
    </row>
    <row r="916" spans="1:16" ht="18" hidden="1" customHeight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314"/>
      <c r="J916" s="314"/>
      <c r="K916" s="314"/>
      <c r="L916" s="314"/>
      <c r="M916" s="74">
        <v>25000</v>
      </c>
      <c r="N916" s="75" t="s">
        <v>241</v>
      </c>
      <c r="O916" s="75" t="s">
        <v>54</v>
      </c>
      <c r="P916" s="134" t="str">
        <f>IF(AND('331-CT'!$E$7=TH!H916,OR(N916="331",O916="331")),"x","")</f>
        <v/>
      </c>
    </row>
    <row r="917" spans="1:16" ht="18" hidden="1" customHeight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314"/>
      <c r="J917" s="314"/>
      <c r="K917" s="314"/>
      <c r="L917" s="314"/>
      <c r="M917" s="74">
        <v>2500</v>
      </c>
      <c r="N917" s="75" t="s">
        <v>19</v>
      </c>
      <c r="O917" s="75" t="s">
        <v>54</v>
      </c>
      <c r="P917" s="134" t="str">
        <f>IF(AND('331-CT'!$E$7=TH!H917,OR(N917="331",O917="331")),"x","")</f>
        <v/>
      </c>
    </row>
    <row r="918" spans="1:16" ht="18" hidden="1" customHeight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314"/>
      <c r="J918" s="314"/>
      <c r="K918" s="314"/>
      <c r="L918" s="314"/>
      <c r="M918" s="74">
        <v>7919801</v>
      </c>
      <c r="N918" s="75" t="s">
        <v>239</v>
      </c>
      <c r="O918" s="75" t="s">
        <v>54</v>
      </c>
      <c r="P918" s="134" t="str">
        <f>IF(AND('331-CT'!$E$7=TH!H918,OR(N918="331",O918="331")),"x","")</f>
        <v/>
      </c>
    </row>
    <row r="919" spans="1:16" ht="18" hidden="1" customHeight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320"/>
      <c r="J919" s="320"/>
      <c r="K919" s="320"/>
      <c r="L919" s="320"/>
      <c r="M919" s="133">
        <v>7919801</v>
      </c>
      <c r="N919" s="134" t="s">
        <v>239</v>
      </c>
      <c r="O919" s="134" t="s">
        <v>54</v>
      </c>
      <c r="P919" s="134" t="str">
        <f>IF(AND('331-CT'!$E$7=TH!H919,OR(N919="331",O919="331")),"x","")</f>
        <v/>
      </c>
    </row>
    <row r="920" spans="1:16" ht="18" hidden="1" customHeight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122"/>
      <c r="J920" s="122"/>
      <c r="K920" s="122"/>
      <c r="L920" s="122"/>
      <c r="M920" s="74">
        <v>11087720</v>
      </c>
      <c r="N920" s="75" t="s">
        <v>239</v>
      </c>
      <c r="O920" s="75" t="s">
        <v>54</v>
      </c>
      <c r="P920" s="134" t="str">
        <f>IF(AND('331-CT'!$E$7=TH!H920,OR(N920="331",O920="331")),"x","")</f>
        <v/>
      </c>
    </row>
    <row r="921" spans="1:16" ht="18" hidden="1" customHeight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122"/>
      <c r="J921" s="122"/>
      <c r="K921" s="122"/>
      <c r="L921" s="122"/>
      <c r="M921" s="74">
        <v>15000000</v>
      </c>
      <c r="N921" s="75" t="s">
        <v>654</v>
      </c>
      <c r="O921" s="75" t="s">
        <v>203</v>
      </c>
      <c r="P921" s="134" t="str">
        <f>IF(AND('331-CT'!$E$7=TH!H921,OR(N921="331",O921="331")),"x","")</f>
        <v/>
      </c>
    </row>
    <row r="922" spans="1:16" ht="18" hidden="1" customHeight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320"/>
      <c r="J922" s="320"/>
      <c r="K922" s="320"/>
      <c r="L922" s="320"/>
      <c r="M922" s="133">
        <v>1500000</v>
      </c>
      <c r="N922" s="134" t="s">
        <v>19</v>
      </c>
      <c r="O922" s="134" t="s">
        <v>203</v>
      </c>
      <c r="P922" s="134" t="str">
        <f>IF(AND('331-CT'!$E$7=TH!H922,OR(N922="331",O922="331")),"x","")</f>
        <v/>
      </c>
    </row>
    <row r="923" spans="1:16" ht="18" hidden="1" customHeight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122"/>
      <c r="J923" s="122"/>
      <c r="K923" s="122"/>
      <c r="L923" s="122"/>
      <c r="M923" s="74">
        <v>13390000</v>
      </c>
      <c r="N923" s="75" t="s">
        <v>654</v>
      </c>
      <c r="O923" s="75" t="s">
        <v>203</v>
      </c>
      <c r="P923" s="134" t="str">
        <f>IF(AND('331-CT'!$E$7=TH!H923,OR(N923="331",O923="331")),"x","")</f>
        <v/>
      </c>
    </row>
    <row r="924" spans="1:16" ht="18" hidden="1" customHeight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122"/>
      <c r="J924" s="122"/>
      <c r="K924" s="122"/>
      <c r="L924" s="122"/>
      <c r="M924" s="74">
        <v>1339000</v>
      </c>
      <c r="N924" s="75" t="s">
        <v>19</v>
      </c>
      <c r="O924" s="75" t="s">
        <v>203</v>
      </c>
      <c r="P924" s="134" t="str">
        <f>IF(AND('331-CT'!$E$7=TH!H924,OR(N924="331",O924="331")),"x","")</f>
        <v/>
      </c>
    </row>
    <row r="925" spans="1:16" ht="18" hidden="1" customHeight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122"/>
      <c r="J925" s="122"/>
      <c r="K925" s="122"/>
      <c r="L925" s="122"/>
      <c r="M925" s="74">
        <v>4773000</v>
      </c>
      <c r="N925" s="75" t="s">
        <v>241</v>
      </c>
      <c r="O925" s="75" t="s">
        <v>203</v>
      </c>
      <c r="P925" s="134" t="str">
        <f>IF(AND('331-CT'!$E$7=TH!H925,OR(N925="331",O925="331")),"x","")</f>
        <v/>
      </c>
    </row>
    <row r="926" spans="1:16" ht="18" hidden="1" customHeight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122"/>
      <c r="J926" s="122"/>
      <c r="K926" s="122"/>
      <c r="L926" s="122"/>
      <c r="M926" s="74">
        <v>238650</v>
      </c>
      <c r="N926" s="75" t="s">
        <v>19</v>
      </c>
      <c r="O926" s="75" t="s">
        <v>203</v>
      </c>
      <c r="P926" s="134" t="str">
        <f>IF(AND('331-CT'!$E$7=TH!H926,OR(N926="331",O926="331")),"x","")</f>
        <v/>
      </c>
    </row>
    <row r="927" spans="1:16" ht="18" hidden="1" customHeight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122"/>
      <c r="J927" s="122"/>
      <c r="K927" s="122"/>
      <c r="L927" s="122"/>
      <c r="M927" s="74">
        <v>140000000</v>
      </c>
      <c r="N927" s="75" t="s">
        <v>54</v>
      </c>
      <c r="O927" s="75" t="s">
        <v>203</v>
      </c>
      <c r="P927" s="134" t="str">
        <f>IF(AND('331-CT'!$E$7=TH!H927,OR(N927="331",O927="331")),"x","")</f>
        <v/>
      </c>
    </row>
    <row r="928" spans="1:16" ht="18" hidden="1" customHeight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122"/>
      <c r="J928" s="122"/>
      <c r="K928" s="122"/>
      <c r="L928" s="122"/>
      <c r="M928" s="74">
        <v>15852135</v>
      </c>
      <c r="N928" s="75" t="s">
        <v>239</v>
      </c>
      <c r="O928" s="75" t="s">
        <v>54</v>
      </c>
      <c r="P928" s="134" t="str">
        <f>IF(AND('331-CT'!$E$7=TH!H928,OR(N928="331",O928="331")),"x","")</f>
        <v/>
      </c>
    </row>
    <row r="929" spans="1:16" ht="18" hidden="1" customHeight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122"/>
      <c r="J929" s="122"/>
      <c r="K929" s="122"/>
      <c r="L929" s="122"/>
      <c r="M929" s="74">
        <v>12681709</v>
      </c>
      <c r="N929" s="75" t="s">
        <v>239</v>
      </c>
      <c r="O929" s="75" t="s">
        <v>54</v>
      </c>
      <c r="P929" s="134" t="str">
        <f>IF(AND('331-CT'!$E$7=TH!H929,OR(N929="331",O929="331")),"x","")</f>
        <v/>
      </c>
    </row>
    <row r="930" spans="1:16" ht="18" hidden="1" customHeight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122"/>
      <c r="J930" s="122"/>
      <c r="K930" s="122"/>
      <c r="L930" s="122"/>
      <c r="M930" s="74">
        <v>11889102</v>
      </c>
      <c r="N930" s="75" t="s">
        <v>239</v>
      </c>
      <c r="O930" s="75" t="s">
        <v>54</v>
      </c>
      <c r="P930" s="134" t="str">
        <f>IF(AND('331-CT'!$E$7=TH!H930,OR(N930="331",O930="331")),"x","")</f>
        <v/>
      </c>
    </row>
    <row r="931" spans="1:16" ht="18" hidden="1" customHeight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122"/>
      <c r="J931" s="122"/>
      <c r="K931" s="122"/>
      <c r="L931" s="122"/>
      <c r="M931" s="74">
        <v>11889102</v>
      </c>
      <c r="N931" s="75" t="s">
        <v>239</v>
      </c>
      <c r="O931" s="75" t="s">
        <v>54</v>
      </c>
      <c r="P931" s="134" t="str">
        <f>IF(AND('331-CT'!$E$7=TH!H931,OR(N931="331",O931="331")),"x","")</f>
        <v/>
      </c>
    </row>
    <row r="932" spans="1:16" ht="18" hidden="1" customHeight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122"/>
      <c r="J932" s="122"/>
      <c r="K932" s="122"/>
      <c r="L932" s="122"/>
      <c r="M932" s="74">
        <v>15852135</v>
      </c>
      <c r="N932" s="75" t="s">
        <v>239</v>
      </c>
      <c r="O932" s="75" t="s">
        <v>54</v>
      </c>
      <c r="P932" s="134" t="str">
        <f>IF(AND('331-CT'!$E$7=TH!H932,OR(N932="331",O932="331")),"x","")</f>
        <v/>
      </c>
    </row>
    <row r="933" spans="1:16" ht="18" hidden="1" customHeight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122"/>
      <c r="J933" s="122"/>
      <c r="K933" s="122"/>
      <c r="L933" s="122"/>
      <c r="M933" s="74">
        <v>11889102</v>
      </c>
      <c r="N933" s="75" t="s">
        <v>239</v>
      </c>
      <c r="O933" s="75" t="s">
        <v>54</v>
      </c>
      <c r="P933" s="134" t="str">
        <f>IF(AND('331-CT'!$E$7=TH!H933,OR(N933="331",O933="331")),"x","")</f>
        <v/>
      </c>
    </row>
    <row r="934" spans="1:16" ht="18" hidden="1" customHeight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122"/>
      <c r="J934" s="122"/>
      <c r="K934" s="122"/>
      <c r="L934" s="122"/>
      <c r="M934" s="74">
        <v>11889102</v>
      </c>
      <c r="N934" s="75" t="s">
        <v>239</v>
      </c>
      <c r="O934" s="75" t="s">
        <v>54</v>
      </c>
      <c r="P934" s="134" t="str">
        <f>IF(AND('331-CT'!$E$7=TH!H934,OR(N934="331",O934="331")),"x","")</f>
        <v/>
      </c>
    </row>
    <row r="935" spans="1:16" ht="18" hidden="1" customHeight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122"/>
      <c r="J935" s="122"/>
      <c r="K935" s="122"/>
      <c r="L935" s="122"/>
      <c r="M935" s="74">
        <v>11889102</v>
      </c>
      <c r="N935" s="75" t="s">
        <v>239</v>
      </c>
      <c r="O935" s="75" t="s">
        <v>54</v>
      </c>
      <c r="P935" s="134" t="str">
        <f>IF(AND('331-CT'!$E$7=TH!H935,OR(N935="331",O935="331")),"x","")</f>
        <v/>
      </c>
    </row>
    <row r="936" spans="1:16" ht="18" hidden="1" customHeight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122"/>
      <c r="J936" s="122"/>
      <c r="K936" s="122"/>
      <c r="L936" s="122"/>
      <c r="M936" s="74">
        <v>7926068</v>
      </c>
      <c r="N936" s="75" t="s">
        <v>239</v>
      </c>
      <c r="O936" s="75" t="s">
        <v>54</v>
      </c>
      <c r="P936" s="134" t="str">
        <f>IF(AND('331-CT'!$E$7=TH!H936,OR(N936="331",O936="331")),"x","")</f>
        <v/>
      </c>
    </row>
    <row r="937" spans="1:16" ht="18" hidden="1" customHeight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122"/>
      <c r="J937" s="122"/>
      <c r="K937" s="122"/>
      <c r="L937" s="122"/>
      <c r="M937" s="74">
        <v>7926068</v>
      </c>
      <c r="N937" s="75" t="s">
        <v>239</v>
      </c>
      <c r="O937" s="75" t="s">
        <v>54</v>
      </c>
      <c r="P937" s="134" t="str">
        <f>IF(AND('331-CT'!$E$7=TH!H937,OR(N937="331",O937="331")),"x","")</f>
        <v/>
      </c>
    </row>
    <row r="938" spans="1:16" ht="18" hidden="1" customHeight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122"/>
      <c r="J938" s="122"/>
      <c r="K938" s="122"/>
      <c r="L938" s="122"/>
      <c r="M938" s="74">
        <v>11889102</v>
      </c>
      <c r="N938" s="75" t="s">
        <v>239</v>
      </c>
      <c r="O938" s="75" t="s">
        <v>54</v>
      </c>
      <c r="P938" s="134" t="str">
        <f>IF(AND('331-CT'!$E$7=TH!H938,OR(N938="331",O938="331")),"x","")</f>
        <v/>
      </c>
    </row>
    <row r="939" spans="1:16" ht="18" hidden="1" customHeight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122"/>
      <c r="J939" s="122"/>
      <c r="K939" s="122"/>
      <c r="L939" s="122"/>
      <c r="M939" s="74">
        <v>400000</v>
      </c>
      <c r="N939" s="75" t="s">
        <v>54</v>
      </c>
      <c r="O939" s="75" t="s">
        <v>243</v>
      </c>
      <c r="P939" s="134" t="str">
        <f>IF(AND('331-CT'!$E$7=TH!H939,OR(N939="331",O939="331")),"x","")</f>
        <v/>
      </c>
    </row>
    <row r="940" spans="1:16" ht="18" hidden="1" customHeight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122"/>
      <c r="J940" s="122"/>
      <c r="K940" s="122"/>
      <c r="L940" s="122"/>
      <c r="M940" s="74">
        <v>9085</v>
      </c>
      <c r="N940" s="75" t="s">
        <v>54</v>
      </c>
      <c r="O940" s="75" t="s">
        <v>99</v>
      </c>
      <c r="P940" s="134" t="str">
        <f>IF(AND('331-CT'!$E$7=TH!H940,OR(N940="331",O940="331")),"x","")</f>
        <v/>
      </c>
    </row>
    <row r="941" spans="1:16" ht="18" hidden="1" customHeight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122"/>
      <c r="J941" s="122"/>
      <c r="K941" s="122"/>
      <c r="L941" s="122"/>
      <c r="M941" s="74">
        <v>18000000</v>
      </c>
      <c r="N941" s="75" t="s">
        <v>654</v>
      </c>
      <c r="O941" s="75" t="s">
        <v>203</v>
      </c>
      <c r="P941" s="134" t="str">
        <f>IF(AND('331-CT'!$E$7=TH!H941,OR(N941="331",O941="331")),"x","")</f>
        <v/>
      </c>
    </row>
    <row r="942" spans="1:16" ht="18" hidden="1" customHeight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122"/>
      <c r="J942" s="122"/>
      <c r="K942" s="122"/>
      <c r="L942" s="122"/>
      <c r="M942" s="74">
        <v>1800000</v>
      </c>
      <c r="N942" s="75" t="s">
        <v>19</v>
      </c>
      <c r="O942" s="75" t="s">
        <v>203</v>
      </c>
      <c r="P942" s="134" t="str">
        <f>IF(AND('331-CT'!$E$7=TH!H942,OR(N942="331",O942="331")),"x","")</f>
        <v/>
      </c>
    </row>
    <row r="943" spans="1:16" ht="18" hidden="1" customHeight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122"/>
      <c r="J943" s="122"/>
      <c r="K943" s="122"/>
      <c r="L943" s="122"/>
      <c r="M943" s="74">
        <v>16000000</v>
      </c>
      <c r="N943" s="75" t="s">
        <v>654</v>
      </c>
      <c r="O943" s="75" t="s">
        <v>203</v>
      </c>
      <c r="P943" s="134" t="str">
        <f>IF(AND('331-CT'!$E$7=TH!H943,OR(N943="331",O943="331")),"x","")</f>
        <v/>
      </c>
    </row>
    <row r="944" spans="1:16" ht="18" hidden="1" customHeight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122"/>
      <c r="J944" s="122"/>
      <c r="K944" s="122"/>
      <c r="L944" s="122"/>
      <c r="M944" s="74">
        <v>1600000</v>
      </c>
      <c r="N944" s="75" t="s">
        <v>19</v>
      </c>
      <c r="O944" s="75" t="s">
        <v>203</v>
      </c>
      <c r="P944" s="134" t="str">
        <f>IF(AND('331-CT'!$E$7=TH!H944,OR(N944="331",O944="331")),"x","")</f>
        <v/>
      </c>
    </row>
    <row r="945" spans="1:16" ht="18" hidden="1" customHeight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122"/>
      <c r="J945" s="122"/>
      <c r="K945" s="122"/>
      <c r="L945" s="122"/>
      <c r="M945" s="74">
        <v>20000000</v>
      </c>
      <c r="N945" s="75" t="s">
        <v>54</v>
      </c>
      <c r="O945" s="75" t="s">
        <v>203</v>
      </c>
      <c r="P945" s="134" t="str">
        <f>IF(AND('331-CT'!$E$7=TH!H945,OR(N945="331",O945="331")),"x","")</f>
        <v/>
      </c>
    </row>
    <row r="946" spans="1:16" ht="18" hidden="1" customHeight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122"/>
      <c r="J946" s="122"/>
      <c r="K946" s="122"/>
      <c r="L946" s="122"/>
      <c r="M946" s="74">
        <v>15000000</v>
      </c>
      <c r="N946" s="75" t="s">
        <v>654</v>
      </c>
      <c r="O946" s="75" t="s">
        <v>203</v>
      </c>
      <c r="P946" s="134" t="str">
        <f>IF(AND('331-CT'!$E$7=TH!H946,OR(N946="331",O946="331")),"x","")</f>
        <v/>
      </c>
    </row>
    <row r="947" spans="1:16" ht="18" hidden="1" customHeight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122"/>
      <c r="J947" s="122"/>
      <c r="K947" s="122"/>
      <c r="L947" s="122"/>
      <c r="M947" s="74">
        <v>1500000</v>
      </c>
      <c r="N947" s="75" t="s">
        <v>19</v>
      </c>
      <c r="O947" s="75" t="s">
        <v>203</v>
      </c>
      <c r="P947" s="134" t="str">
        <f>IF(AND('331-CT'!$E$7=TH!H947,OR(N947="331",O947="331")),"x","")</f>
        <v/>
      </c>
    </row>
    <row r="948" spans="1:16" ht="18" hidden="1" customHeight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122"/>
      <c r="J948" s="122"/>
      <c r="K948" s="122"/>
      <c r="L948" s="122"/>
      <c r="M948" s="74">
        <v>27858600</v>
      </c>
      <c r="N948" s="75" t="s">
        <v>241</v>
      </c>
      <c r="O948" s="75" t="s">
        <v>18</v>
      </c>
      <c r="P948" s="134" t="str">
        <f>IF(AND('331-CT'!$E$7=TH!H948,OR(N948="331",O948="331")),"x","")</f>
        <v/>
      </c>
    </row>
    <row r="949" spans="1:16" ht="18" hidden="1" customHeight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122"/>
      <c r="J949" s="122"/>
      <c r="K949" s="122"/>
      <c r="L949" s="122"/>
      <c r="M949" s="74">
        <v>2785860</v>
      </c>
      <c r="N949" s="75" t="s">
        <v>19</v>
      </c>
      <c r="O949" s="75" t="s">
        <v>18</v>
      </c>
      <c r="P949" s="134" t="str">
        <f>IF(AND('331-CT'!$E$7=TH!H949,OR(N949="331",O949="331")),"x","")</f>
        <v/>
      </c>
    </row>
    <row r="950" spans="1:16" ht="18" hidden="1" customHeight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122"/>
      <c r="J950" s="122"/>
      <c r="K950" s="122"/>
      <c r="L950" s="122"/>
      <c r="M950" s="74">
        <v>20382000</v>
      </c>
      <c r="N950" s="75" t="s">
        <v>18</v>
      </c>
      <c r="O950" s="75" t="s">
        <v>54</v>
      </c>
      <c r="P950" s="134" t="str">
        <f>IF(AND('331-CT'!$E$7=TH!H950,OR(N950="331",O950="331")),"x","")</f>
        <v/>
      </c>
    </row>
    <row r="951" spans="1:16" ht="18" hidden="1" customHeight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122"/>
      <c r="J951" s="122"/>
      <c r="K951" s="122"/>
      <c r="L951" s="122"/>
      <c r="M951" s="74">
        <v>45000</v>
      </c>
      <c r="N951" s="75" t="s">
        <v>241</v>
      </c>
      <c r="O951" s="75" t="s">
        <v>54</v>
      </c>
      <c r="P951" s="134" t="str">
        <f>IF(AND('331-CT'!$E$7=TH!H951,OR(N951="331",O951="331")),"x","")</f>
        <v/>
      </c>
    </row>
    <row r="952" spans="1:16" ht="18" hidden="1" customHeight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122"/>
      <c r="J952" s="122"/>
      <c r="K952" s="122"/>
      <c r="L952" s="122"/>
      <c r="M952" s="74">
        <v>4500</v>
      </c>
      <c r="N952" s="75" t="s">
        <v>19</v>
      </c>
      <c r="O952" s="75" t="s">
        <v>54</v>
      </c>
      <c r="P952" s="134" t="str">
        <f>IF(AND('331-CT'!$E$7=TH!H952,OR(N952="331",O952="331")),"x","")</f>
        <v/>
      </c>
    </row>
    <row r="953" spans="1:16" ht="18" hidden="1" customHeight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122"/>
      <c r="J953" s="122"/>
      <c r="K953" s="122"/>
      <c r="L953" s="122"/>
      <c r="M953" s="74">
        <v>9272640</v>
      </c>
      <c r="N953" s="75" t="s">
        <v>241</v>
      </c>
      <c r="O953" s="75" t="s">
        <v>18</v>
      </c>
      <c r="P953" s="134" t="str">
        <f>IF(AND('331-CT'!$E$7=TH!H953,OR(N953="331",O953="331")),"x","")</f>
        <v/>
      </c>
    </row>
    <row r="954" spans="1:16" ht="18" hidden="1" customHeight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122"/>
      <c r="J954" s="122"/>
      <c r="K954" s="122"/>
      <c r="L954" s="122"/>
      <c r="M954" s="74">
        <v>927264</v>
      </c>
      <c r="N954" s="75" t="s">
        <v>19</v>
      </c>
      <c r="O954" s="75" t="s">
        <v>18</v>
      </c>
      <c r="P954" s="134" t="str">
        <f>IF(AND('331-CT'!$E$7=TH!H954,OR(N954="331",O954="331")),"x","")</f>
        <v/>
      </c>
    </row>
    <row r="955" spans="1:16" ht="18" hidden="1" customHeight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122"/>
      <c r="J955" s="122"/>
      <c r="K955" s="122"/>
      <c r="L955" s="122"/>
      <c r="M955" s="74">
        <v>10313194</v>
      </c>
      <c r="N955" s="75" t="s">
        <v>654</v>
      </c>
      <c r="O955" s="75" t="s">
        <v>18</v>
      </c>
      <c r="P955" s="134" t="str">
        <f>IF(AND('331-CT'!$E$7=TH!H955,OR(N955="331",O955="331")),"x","")</f>
        <v/>
      </c>
    </row>
    <row r="956" spans="1:16" ht="18" hidden="1" customHeight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122"/>
      <c r="J956" s="122"/>
      <c r="K956" s="122"/>
      <c r="L956" s="122"/>
      <c r="M956" s="74">
        <v>1031319</v>
      </c>
      <c r="N956" s="75" t="s">
        <v>19</v>
      </c>
      <c r="O956" s="75" t="s">
        <v>18</v>
      </c>
      <c r="P956" s="134" t="str">
        <f>IF(AND('331-CT'!$E$7=TH!H956,OR(N956="331",O956="331")),"x","")</f>
        <v/>
      </c>
    </row>
    <row r="957" spans="1:16" ht="18" hidden="1" customHeight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122"/>
      <c r="J957" s="122"/>
      <c r="K957" s="122"/>
      <c r="L957" s="122"/>
      <c r="M957" s="74">
        <v>400000000</v>
      </c>
      <c r="N957" s="75" t="s">
        <v>54</v>
      </c>
      <c r="O957" s="75" t="s">
        <v>203</v>
      </c>
      <c r="P957" s="134" t="str">
        <f>IF(AND('331-CT'!$E$7=TH!H957,OR(N957="331",O957="331")),"x","")</f>
        <v/>
      </c>
    </row>
    <row r="958" spans="1:16" ht="18" customHeight="1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122"/>
      <c r="J958" s="122"/>
      <c r="K958" s="122"/>
      <c r="L958" s="122"/>
      <c r="M958" s="74">
        <v>400000000</v>
      </c>
      <c r="N958" s="75" t="s">
        <v>18</v>
      </c>
      <c r="O958" s="75" t="s">
        <v>54</v>
      </c>
      <c r="P958" s="134" t="str">
        <f>IF(AND('331-CT'!$E$7=TH!H958,OR(N958="331",O958="331")),"x","")</f>
        <v/>
      </c>
    </row>
    <row r="959" spans="1:16" ht="18" hidden="1" customHeight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122"/>
      <c r="J959" s="122"/>
      <c r="K959" s="122"/>
      <c r="L959" s="122"/>
      <c r="M959" s="74">
        <v>317438</v>
      </c>
      <c r="N959" s="75" t="s">
        <v>241</v>
      </c>
      <c r="O959" s="75" t="s">
        <v>54</v>
      </c>
      <c r="P959" s="134" t="str">
        <f>IF(AND('331-CT'!$E$7=TH!H959,OR(N959="331",O959="331")),"x","")</f>
        <v/>
      </c>
    </row>
    <row r="960" spans="1:16" ht="18" hidden="1" customHeight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122"/>
      <c r="J960" s="122"/>
      <c r="K960" s="122"/>
      <c r="L960" s="122"/>
      <c r="M960" s="74">
        <v>31744</v>
      </c>
      <c r="N960" s="75" t="s">
        <v>19</v>
      </c>
      <c r="O960" s="75" t="s">
        <v>54</v>
      </c>
      <c r="P960" s="134" t="str">
        <f>IF(AND('331-CT'!$E$7=TH!H960,OR(N960="331",O960="331")),"x","")</f>
        <v/>
      </c>
    </row>
    <row r="961" spans="1:16" ht="18" hidden="1" customHeight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122"/>
      <c r="J961" s="122"/>
      <c r="K961" s="122"/>
      <c r="L961" s="122"/>
      <c r="M961" s="74">
        <v>17100000</v>
      </c>
      <c r="N961" s="75" t="s">
        <v>654</v>
      </c>
      <c r="O961" s="75" t="s">
        <v>203</v>
      </c>
      <c r="P961" s="134" t="str">
        <f>IF(AND('331-CT'!$E$7=TH!H961,OR(N961="331",O961="331")),"x","")</f>
        <v/>
      </c>
    </row>
    <row r="962" spans="1:16" ht="18" hidden="1" customHeight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122"/>
      <c r="J962" s="122"/>
      <c r="K962" s="122"/>
      <c r="L962" s="122"/>
      <c r="M962" s="74">
        <v>1710000</v>
      </c>
      <c r="N962" s="75" t="s">
        <v>19</v>
      </c>
      <c r="O962" s="75" t="s">
        <v>203</v>
      </c>
      <c r="P962" s="134" t="str">
        <f>IF(AND('331-CT'!$E$7=TH!H962,OR(N962="331",O962="331")),"x","")</f>
        <v/>
      </c>
    </row>
    <row r="963" spans="1:16" ht="18" hidden="1" customHeight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122"/>
      <c r="J963" s="122"/>
      <c r="K963" s="122"/>
      <c r="L963" s="122"/>
      <c r="M963" s="74">
        <v>1650000</v>
      </c>
      <c r="N963" s="75" t="s">
        <v>654</v>
      </c>
      <c r="O963" s="75" t="s">
        <v>203</v>
      </c>
      <c r="P963" s="134" t="str">
        <f>IF(AND('331-CT'!$E$7=TH!H963,OR(N963="331",O963="331")),"x","")</f>
        <v/>
      </c>
    </row>
    <row r="964" spans="1:16" ht="18" hidden="1" customHeight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122"/>
      <c r="J964" s="122"/>
      <c r="K964" s="122"/>
      <c r="L964" s="122"/>
      <c r="M964" s="74">
        <v>165000</v>
      </c>
      <c r="N964" s="75" t="s">
        <v>19</v>
      </c>
      <c r="O964" s="75" t="s">
        <v>203</v>
      </c>
      <c r="P964" s="134" t="str">
        <f>IF(AND('331-CT'!$E$7=TH!H964,OR(N964="331",O964="331")),"x","")</f>
        <v/>
      </c>
    </row>
    <row r="965" spans="1:16" ht="18" hidden="1" customHeight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122"/>
      <c r="J965" s="122"/>
      <c r="K965" s="122"/>
      <c r="L965" s="122"/>
      <c r="M965" s="74">
        <v>1678844208</v>
      </c>
      <c r="N965" s="75" t="s">
        <v>212</v>
      </c>
      <c r="O965" s="75" t="s">
        <v>19</v>
      </c>
      <c r="P965" s="134" t="str">
        <f>IF(AND('331-CT'!$E$7=TH!H965,OR(N965="331",O965="331")),"x","")</f>
        <v/>
      </c>
    </row>
    <row r="966" spans="1:16" ht="18" hidden="1" customHeight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122"/>
      <c r="J966" s="122"/>
      <c r="K966" s="122"/>
      <c r="L966" s="122"/>
      <c r="M966" s="74">
        <v>15000000</v>
      </c>
      <c r="N966" s="75" t="s">
        <v>654</v>
      </c>
      <c r="O966" s="75" t="s">
        <v>203</v>
      </c>
      <c r="P966" s="134" t="str">
        <f>IF(AND('331-CT'!$E$7=TH!H966,OR(N966="331",O966="331")),"x","")</f>
        <v/>
      </c>
    </row>
    <row r="967" spans="1:16" ht="18" hidden="1" customHeight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122"/>
      <c r="J967" s="122"/>
      <c r="K967" s="122"/>
      <c r="L967" s="122"/>
      <c r="M967" s="74">
        <v>1500000</v>
      </c>
      <c r="N967" s="75" t="s">
        <v>19</v>
      </c>
      <c r="O967" s="75" t="s">
        <v>203</v>
      </c>
      <c r="P967" s="134" t="str">
        <f>IF(AND('331-CT'!$E$7=TH!H967,OR(N967="331",O967="331")),"x","")</f>
        <v/>
      </c>
    </row>
    <row r="968" spans="1:16" ht="18" hidden="1" customHeight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122"/>
      <c r="J968" s="122"/>
      <c r="K968" s="122"/>
      <c r="L968" s="122"/>
      <c r="M968" s="74">
        <v>17750000</v>
      </c>
      <c r="N968" s="75" t="s">
        <v>654</v>
      </c>
      <c r="O968" s="75" t="s">
        <v>203</v>
      </c>
      <c r="P968" s="134" t="str">
        <f>IF(AND('331-CT'!$E$7=TH!H968,OR(N968="331",O968="331")),"x","")</f>
        <v/>
      </c>
    </row>
    <row r="969" spans="1:16" ht="18" hidden="1" customHeight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122"/>
      <c r="J969" s="122"/>
      <c r="K969" s="122"/>
      <c r="L969" s="122"/>
      <c r="M969" s="74">
        <v>1775000</v>
      </c>
      <c r="N969" s="75" t="s">
        <v>19</v>
      </c>
      <c r="O969" s="75" t="s">
        <v>203</v>
      </c>
      <c r="P969" s="134" t="str">
        <f>IF(AND('331-CT'!$E$7=TH!H969,OR(N969="331",O969="331")),"x","")</f>
        <v/>
      </c>
    </row>
    <row r="970" spans="1:16" ht="18" hidden="1" customHeight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122"/>
      <c r="J970" s="122"/>
      <c r="K970" s="122"/>
      <c r="L970" s="122"/>
      <c r="M970" s="74">
        <v>14460700</v>
      </c>
      <c r="N970" s="75" t="s">
        <v>654</v>
      </c>
      <c r="O970" s="75" t="s">
        <v>203</v>
      </c>
      <c r="P970" s="134" t="str">
        <f>IF(AND('331-CT'!$E$7=TH!H970,OR(N970="331",O970="331")),"x","")</f>
        <v/>
      </c>
    </row>
    <row r="971" spans="1:16" ht="18" hidden="1" customHeight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122"/>
      <c r="J971" s="122"/>
      <c r="K971" s="122"/>
      <c r="L971" s="122"/>
      <c r="M971" s="74">
        <v>1446070</v>
      </c>
      <c r="N971" s="75" t="s">
        <v>19</v>
      </c>
      <c r="O971" s="75" t="s">
        <v>203</v>
      </c>
      <c r="P971" s="134" t="str">
        <f>IF(AND('331-CT'!$E$7=TH!H971,OR(N971="331",O971="331")),"x","")</f>
        <v/>
      </c>
    </row>
    <row r="972" spans="1:16" ht="18" hidden="1" customHeight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122"/>
      <c r="J972" s="122"/>
      <c r="K972" s="122"/>
      <c r="L972" s="122"/>
      <c r="M972" s="74">
        <v>17900000</v>
      </c>
      <c r="N972" s="75" t="s">
        <v>654</v>
      </c>
      <c r="O972" s="75" t="s">
        <v>203</v>
      </c>
      <c r="P972" s="134" t="str">
        <f>IF(AND('331-CT'!$E$7=TH!H972,OR(N972="331",O972="331")),"x","")</f>
        <v/>
      </c>
    </row>
    <row r="973" spans="1:16" ht="18" hidden="1" customHeight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122"/>
      <c r="J973" s="122"/>
      <c r="K973" s="122"/>
      <c r="L973" s="122"/>
      <c r="M973" s="74">
        <v>1790000</v>
      </c>
      <c r="N973" s="75" t="s">
        <v>19</v>
      </c>
      <c r="O973" s="75" t="s">
        <v>203</v>
      </c>
      <c r="P973" s="134" t="str">
        <f>IF(AND('331-CT'!$E$7=TH!H973,OR(N973="331",O973="331")),"x","")</f>
        <v/>
      </c>
    </row>
    <row r="974" spans="1:16" ht="18" hidden="1" customHeight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122"/>
      <c r="J974" s="122"/>
      <c r="K974" s="122"/>
      <c r="L974" s="122"/>
      <c r="M974" s="74">
        <v>15610550</v>
      </c>
      <c r="N974" s="75" t="s">
        <v>654</v>
      </c>
      <c r="O974" s="75" t="s">
        <v>203</v>
      </c>
      <c r="P974" s="134" t="str">
        <f>IF(AND('331-CT'!$E$7=TH!H974,OR(N974="331",O974="331")),"x","")</f>
        <v/>
      </c>
    </row>
    <row r="975" spans="1:16" ht="18" hidden="1" customHeight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122"/>
      <c r="J975" s="122"/>
      <c r="K975" s="122"/>
      <c r="L975" s="122"/>
      <c r="M975" s="74">
        <v>1561055</v>
      </c>
      <c r="N975" s="75" t="s">
        <v>19</v>
      </c>
      <c r="O975" s="75" t="s">
        <v>203</v>
      </c>
      <c r="P975" s="134" t="str">
        <f>IF(AND('331-CT'!$E$7=TH!H975,OR(N975="331",O975="331")),"x","")</f>
        <v/>
      </c>
    </row>
    <row r="976" spans="1:16" ht="18" hidden="1" customHeight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122"/>
      <c r="J976" s="122"/>
      <c r="K976" s="122"/>
      <c r="L976" s="122"/>
      <c r="M976" s="74">
        <v>6818182</v>
      </c>
      <c r="N976" s="75" t="s">
        <v>241</v>
      </c>
      <c r="O976" s="75" t="s">
        <v>203</v>
      </c>
      <c r="P976" s="134" t="str">
        <f>IF(AND('331-CT'!$E$7=TH!H976,OR(N976="331",O976="331")),"x","")</f>
        <v/>
      </c>
    </row>
    <row r="977" spans="1:16" ht="18" hidden="1" customHeight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122"/>
      <c r="J977" s="122"/>
      <c r="K977" s="122"/>
      <c r="L977" s="122"/>
      <c r="M977" s="74">
        <v>681818</v>
      </c>
      <c r="N977" s="75" t="s">
        <v>19</v>
      </c>
      <c r="O977" s="75" t="s">
        <v>203</v>
      </c>
      <c r="P977" s="134" t="str">
        <f>IF(AND('331-CT'!$E$7=TH!H977,OR(N977="331",O977="331")),"x","")</f>
        <v/>
      </c>
    </row>
    <row r="978" spans="1:16" ht="18" hidden="1" customHeight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122"/>
      <c r="J978" s="122"/>
      <c r="K978" s="122"/>
      <c r="L978" s="122"/>
      <c r="M978" s="74">
        <v>7960000</v>
      </c>
      <c r="N978" s="75" t="s">
        <v>654</v>
      </c>
      <c r="O978" s="75" t="s">
        <v>203</v>
      </c>
      <c r="P978" s="134" t="str">
        <f>IF(AND('331-CT'!$E$7=TH!H978,OR(N978="331",O978="331")),"x","")</f>
        <v/>
      </c>
    </row>
    <row r="979" spans="1:16" ht="18" hidden="1" customHeight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122"/>
      <c r="J979" s="122"/>
      <c r="K979" s="122"/>
      <c r="L979" s="122"/>
      <c r="M979" s="74">
        <v>15221000</v>
      </c>
      <c r="N979" s="75" t="s">
        <v>654</v>
      </c>
      <c r="O979" s="75" t="s">
        <v>18</v>
      </c>
      <c r="P979" s="134" t="str">
        <f>IF(AND('331-CT'!$E$7=TH!H979,OR(N979="331",O979="331")),"x","")</f>
        <v/>
      </c>
    </row>
    <row r="980" spans="1:16" ht="18" hidden="1" customHeight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122"/>
      <c r="J980" s="122"/>
      <c r="K980" s="122"/>
      <c r="L980" s="122"/>
      <c r="M980" s="74">
        <v>1522100</v>
      </c>
      <c r="N980" s="75" t="s">
        <v>19</v>
      </c>
      <c r="O980" s="75" t="s">
        <v>18</v>
      </c>
      <c r="P980" s="134" t="str">
        <f>IF(AND('331-CT'!$E$7=TH!H980,OR(N980="331",O980="331")),"x","")</f>
        <v/>
      </c>
    </row>
    <row r="981" spans="1:16" ht="18" hidden="1" customHeight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122"/>
      <c r="J981" s="122"/>
      <c r="K981" s="122"/>
      <c r="L981" s="122"/>
      <c r="M981" s="74">
        <v>15000000</v>
      </c>
      <c r="N981" s="75" t="s">
        <v>654</v>
      </c>
      <c r="O981" s="75" t="s">
        <v>203</v>
      </c>
      <c r="P981" s="134" t="str">
        <f>IF(AND('331-CT'!$E$7=TH!H981,OR(N981="331",O981="331")),"x","")</f>
        <v/>
      </c>
    </row>
    <row r="982" spans="1:16" ht="18" hidden="1" customHeight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122"/>
      <c r="J982" s="122"/>
      <c r="K982" s="122"/>
      <c r="L982" s="122"/>
      <c r="M982" s="74">
        <v>1500000</v>
      </c>
      <c r="N982" s="75" t="s">
        <v>19</v>
      </c>
      <c r="O982" s="75" t="s">
        <v>203</v>
      </c>
      <c r="P982" s="134" t="str">
        <f>IF(AND('331-CT'!$E$7=TH!H982,OR(N982="331",O982="331")),"x","")</f>
        <v/>
      </c>
    </row>
    <row r="983" spans="1:16" ht="18" hidden="1" customHeight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122"/>
      <c r="J983" s="122"/>
      <c r="K983" s="122"/>
      <c r="L983" s="122"/>
      <c r="M983" s="74">
        <v>8181816</v>
      </c>
      <c r="N983" s="75" t="s">
        <v>654</v>
      </c>
      <c r="O983" s="75" t="s">
        <v>203</v>
      </c>
      <c r="P983" s="134" t="str">
        <f>IF(AND('331-CT'!$E$7=TH!H983,OR(N983="331",O983="331")),"x","")</f>
        <v/>
      </c>
    </row>
    <row r="984" spans="1:16" ht="18" hidden="1" customHeight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122"/>
      <c r="J984" s="122"/>
      <c r="K984" s="122"/>
      <c r="L984" s="122"/>
      <c r="M984" s="74">
        <v>818181</v>
      </c>
      <c r="N984" s="75" t="s">
        <v>19</v>
      </c>
      <c r="O984" s="75" t="s">
        <v>203</v>
      </c>
      <c r="P984" s="134" t="str">
        <f>IF(AND('331-CT'!$E$7=TH!H984,OR(N984="331",O984="331")),"x","")</f>
        <v/>
      </c>
    </row>
    <row r="985" spans="1:16" ht="18" hidden="1" customHeight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122"/>
      <c r="J985" s="122"/>
      <c r="K985" s="122"/>
      <c r="L985" s="122"/>
      <c r="M985" s="74">
        <v>50000000</v>
      </c>
      <c r="N985" s="75" t="s">
        <v>54</v>
      </c>
      <c r="O985" s="75" t="s">
        <v>203</v>
      </c>
      <c r="P985" s="134" t="str">
        <f>IF(AND('331-CT'!$E$7=TH!H985,OR(N985="331",O985="331")),"x","")</f>
        <v/>
      </c>
    </row>
    <row r="986" spans="1:16" ht="18" hidden="1" customHeight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122"/>
      <c r="J986" s="122"/>
      <c r="K986" s="122"/>
      <c r="L986" s="122"/>
      <c r="M986" s="74">
        <v>50000000</v>
      </c>
      <c r="N986" s="75" t="s">
        <v>18</v>
      </c>
      <c r="O986" s="75" t="s">
        <v>54</v>
      </c>
      <c r="P986" s="134" t="str">
        <f>IF(AND('331-CT'!$E$7=TH!H986,OR(N986="331",O986="331")),"x","")</f>
        <v/>
      </c>
    </row>
    <row r="987" spans="1:16" ht="18" hidden="1" customHeight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122"/>
      <c r="J987" s="122"/>
      <c r="K987" s="122"/>
      <c r="L987" s="122"/>
      <c r="M987" s="74">
        <v>45000</v>
      </c>
      <c r="N987" s="75" t="s">
        <v>241</v>
      </c>
      <c r="O987" s="75" t="s">
        <v>54</v>
      </c>
      <c r="P987" s="134" t="str">
        <f>IF(AND('331-CT'!$E$7=TH!H987,OR(N987="331",O987="331")),"x","")</f>
        <v/>
      </c>
    </row>
    <row r="988" spans="1:16" ht="18" hidden="1" customHeight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122"/>
      <c r="J988" s="122"/>
      <c r="K988" s="122"/>
      <c r="L988" s="122"/>
      <c r="M988" s="74">
        <v>4500</v>
      </c>
      <c r="N988" s="75" t="s">
        <v>19</v>
      </c>
      <c r="O988" s="75" t="s">
        <v>54</v>
      </c>
      <c r="P988" s="134" t="str">
        <f>IF(AND('331-CT'!$E$7=TH!H988,OR(N988="331",O988="331")),"x","")</f>
        <v/>
      </c>
    </row>
    <row r="989" spans="1:16" ht="18" hidden="1" customHeight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122"/>
      <c r="J989" s="122"/>
      <c r="K989" s="122"/>
      <c r="L989" s="122"/>
      <c r="M989" s="74">
        <v>35145400</v>
      </c>
      <c r="N989" s="75" t="s">
        <v>241</v>
      </c>
      <c r="O989" s="75" t="s">
        <v>18</v>
      </c>
      <c r="P989" s="134" t="str">
        <f>IF(AND('331-CT'!$E$7=TH!H989,OR(N989="331",O989="331")),"x","")</f>
        <v/>
      </c>
    </row>
    <row r="990" spans="1:16" ht="18" hidden="1" customHeight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122"/>
      <c r="J990" s="122"/>
      <c r="K990" s="122"/>
      <c r="L990" s="122"/>
      <c r="M990" s="74">
        <v>3514540</v>
      </c>
      <c r="N990" s="75" t="s">
        <v>19</v>
      </c>
      <c r="O990" s="75" t="s">
        <v>18</v>
      </c>
      <c r="P990" s="134" t="str">
        <f>IF(AND('331-CT'!$E$7=TH!H990,OR(N990="331",O990="331")),"x","")</f>
        <v/>
      </c>
    </row>
    <row r="991" spans="1:16" ht="18" hidden="1" customHeight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122"/>
      <c r="J991" s="122"/>
      <c r="K991" s="122"/>
      <c r="L991" s="122"/>
      <c r="M991" s="74">
        <v>50000000</v>
      </c>
      <c r="N991" s="75" t="s">
        <v>54</v>
      </c>
      <c r="O991" s="75" t="s">
        <v>203</v>
      </c>
      <c r="P991" s="134" t="str">
        <f>IF(AND('331-CT'!$E$7=TH!H991,OR(N991="331",O991="331")),"x","")</f>
        <v/>
      </c>
    </row>
    <row r="992" spans="1:16" ht="18" hidden="1" customHeight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122"/>
      <c r="J992" s="122"/>
      <c r="K992" s="122"/>
      <c r="L992" s="122"/>
      <c r="M992" s="74">
        <v>10199904</v>
      </c>
      <c r="N992" s="75" t="s">
        <v>18</v>
      </c>
      <c r="O992" s="75" t="s">
        <v>54</v>
      </c>
      <c r="P992" s="134" t="str">
        <f>IF(AND('331-CT'!$E$7=TH!H992,OR(N992="331",O992="331")),"x","")</f>
        <v/>
      </c>
    </row>
    <row r="993" spans="1:16" ht="18" hidden="1" customHeight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122"/>
      <c r="J993" s="122"/>
      <c r="K993" s="122"/>
      <c r="L993" s="122"/>
      <c r="M993" s="74">
        <v>45000</v>
      </c>
      <c r="N993" s="75" t="s">
        <v>241</v>
      </c>
      <c r="O993" s="75" t="s">
        <v>54</v>
      </c>
      <c r="P993" s="134" t="str">
        <f>IF(AND('331-CT'!$E$7=TH!H993,OR(N993="331",O993="331")),"x","")</f>
        <v/>
      </c>
    </row>
    <row r="994" spans="1:16" ht="18" hidden="1" customHeight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122"/>
      <c r="J994" s="122"/>
      <c r="K994" s="122"/>
      <c r="L994" s="122"/>
      <c r="M994" s="74">
        <v>4500</v>
      </c>
      <c r="N994" s="75" t="s">
        <v>19</v>
      </c>
      <c r="O994" s="75" t="s">
        <v>54</v>
      </c>
      <c r="P994" s="134" t="str">
        <f>IF(AND('331-CT'!$E$7=TH!H994,OR(N994="331",O994="331")),"x","")</f>
        <v/>
      </c>
    </row>
    <row r="995" spans="1:16" ht="18" hidden="1" customHeight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122"/>
      <c r="J995" s="122"/>
      <c r="K995" s="122"/>
      <c r="L995" s="122"/>
      <c r="M995" s="74">
        <v>30644460</v>
      </c>
      <c r="N995" s="75" t="s">
        <v>18</v>
      </c>
      <c r="O995" s="75" t="s">
        <v>54</v>
      </c>
      <c r="P995" s="134" t="str">
        <f>IF(AND('331-CT'!$E$7=TH!H995,OR(N995="331",O995="331")),"x","")</f>
        <v/>
      </c>
    </row>
    <row r="996" spans="1:16" ht="18" hidden="1" customHeight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122"/>
      <c r="J996" s="122"/>
      <c r="K996" s="122"/>
      <c r="L996" s="122"/>
      <c r="M996" s="74">
        <v>45000</v>
      </c>
      <c r="N996" s="75" t="s">
        <v>241</v>
      </c>
      <c r="O996" s="75" t="s">
        <v>54</v>
      </c>
      <c r="P996" s="134" t="str">
        <f>IF(AND('331-CT'!$E$7=TH!H996,OR(N996="331",O996="331")),"x","")</f>
        <v/>
      </c>
    </row>
    <row r="997" spans="1:16" ht="18" hidden="1" customHeight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122"/>
      <c r="J997" s="122"/>
      <c r="K997" s="122"/>
      <c r="L997" s="122"/>
      <c r="M997" s="74">
        <v>4500</v>
      </c>
      <c r="N997" s="75" t="s">
        <v>19</v>
      </c>
      <c r="O997" s="75" t="s">
        <v>54</v>
      </c>
      <c r="P997" s="134" t="str">
        <f>IF(AND('331-CT'!$E$7=TH!H997,OR(N997="331",O997="331")),"x","")</f>
        <v/>
      </c>
    </row>
    <row r="998" spans="1:16" ht="18" hidden="1" customHeight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122"/>
      <c r="J998" s="122"/>
      <c r="K998" s="122"/>
      <c r="L998" s="122"/>
      <c r="M998" s="74">
        <v>16500000</v>
      </c>
      <c r="N998" s="75" t="s">
        <v>654</v>
      </c>
      <c r="O998" s="75" t="s">
        <v>203</v>
      </c>
      <c r="P998" s="134" t="str">
        <f>IF(AND('331-CT'!$E$7=TH!H998,OR(N998="331",O998="331")),"x","")</f>
        <v/>
      </c>
    </row>
    <row r="999" spans="1:16" ht="18" hidden="1" customHeight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122"/>
      <c r="J999" s="122"/>
      <c r="K999" s="122"/>
      <c r="L999" s="122"/>
      <c r="M999" s="74">
        <v>1650000</v>
      </c>
      <c r="N999" s="75" t="s">
        <v>19</v>
      </c>
      <c r="O999" s="75" t="s">
        <v>203</v>
      </c>
      <c r="P999" s="134" t="str">
        <f>IF(AND('331-CT'!$E$7=TH!H999,OR(N999="331",O999="331")),"x","")</f>
        <v/>
      </c>
    </row>
    <row r="1000" spans="1:16" ht="18" hidden="1" customHeight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122"/>
      <c r="J1000" s="122"/>
      <c r="K1000" s="122"/>
      <c r="L1000" s="122"/>
      <c r="M1000" s="74">
        <v>277273</v>
      </c>
      <c r="N1000" s="75" t="s">
        <v>241</v>
      </c>
      <c r="O1000" s="75" t="s">
        <v>203</v>
      </c>
      <c r="P1000" s="134" t="str">
        <f>IF(AND('331-CT'!$E$7=TH!H1000,OR(N1000="331",O1000="331")),"x","")</f>
        <v/>
      </c>
    </row>
    <row r="1001" spans="1:16" ht="18" hidden="1" customHeight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122"/>
      <c r="J1001" s="122"/>
      <c r="K1001" s="122"/>
      <c r="L1001" s="122"/>
      <c r="M1001" s="74">
        <v>27727</v>
      </c>
      <c r="N1001" s="75" t="s">
        <v>19</v>
      </c>
      <c r="O1001" s="75" t="s">
        <v>203</v>
      </c>
      <c r="P1001" s="134" t="str">
        <f>IF(AND('331-CT'!$E$7=TH!H1001,OR(N1001="331",O1001="331")),"x","")</f>
        <v/>
      </c>
    </row>
    <row r="1002" spans="1:16" ht="18" hidden="1" customHeight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122"/>
      <c r="J1002" s="122"/>
      <c r="K1002" s="122"/>
      <c r="L1002" s="122"/>
      <c r="M1002" s="74">
        <v>83901727</v>
      </c>
      <c r="N1002" s="75" t="s">
        <v>654</v>
      </c>
      <c r="O1002" s="75" t="s">
        <v>18</v>
      </c>
      <c r="P1002" s="134" t="str">
        <f>IF(AND('331-CT'!$E$7=TH!H1002,OR(N1002="331",O1002="331")),"x","")</f>
        <v/>
      </c>
    </row>
    <row r="1003" spans="1:16" ht="18" hidden="1" customHeight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122"/>
      <c r="J1003" s="122"/>
      <c r="K1003" s="122"/>
      <c r="L1003" s="122"/>
      <c r="M1003" s="74">
        <v>8390173</v>
      </c>
      <c r="N1003" s="75" t="s">
        <v>19</v>
      </c>
      <c r="O1003" s="75" t="s">
        <v>18</v>
      </c>
      <c r="P1003" s="134" t="str">
        <f>IF(AND('331-CT'!$E$7=TH!H1003,OR(N1003="331",O1003="331")),"x","")</f>
        <v/>
      </c>
    </row>
    <row r="1004" spans="1:16" ht="18" hidden="1" customHeight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122"/>
      <c r="J1004" s="122"/>
      <c r="K1004" s="122"/>
      <c r="L1004" s="122"/>
      <c r="M1004" s="74">
        <v>17250000</v>
      </c>
      <c r="N1004" s="75" t="s">
        <v>654</v>
      </c>
      <c r="O1004" s="75" t="s">
        <v>203</v>
      </c>
      <c r="P1004" s="134" t="str">
        <f>IF(AND('331-CT'!$E$7=TH!H1004,OR(N1004="331",O1004="331")),"x","")</f>
        <v/>
      </c>
    </row>
    <row r="1005" spans="1:16" ht="18" hidden="1" customHeight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122"/>
      <c r="J1005" s="122"/>
      <c r="K1005" s="122"/>
      <c r="L1005" s="122"/>
      <c r="M1005" s="74">
        <v>1725000</v>
      </c>
      <c r="N1005" s="75" t="s">
        <v>19</v>
      </c>
      <c r="O1005" s="75" t="s">
        <v>203</v>
      </c>
      <c r="P1005" s="134" t="str">
        <f>IF(AND('331-CT'!$E$7=TH!H1005,OR(N1005="331",O1005="331")),"x","")</f>
        <v/>
      </c>
    </row>
    <row r="1006" spans="1:16" ht="18" hidden="1" customHeight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122"/>
      <c r="J1006" s="122"/>
      <c r="K1006" s="122"/>
      <c r="L1006" s="122"/>
      <c r="M1006" s="74">
        <v>280531</v>
      </c>
      <c r="N1006" s="75" t="s">
        <v>241</v>
      </c>
      <c r="O1006" s="75" t="s">
        <v>203</v>
      </c>
      <c r="P1006" s="134" t="str">
        <f>IF(AND('331-CT'!$E$7=TH!H1006,OR(N1006="331",O1006="331")),"x","")</f>
        <v/>
      </c>
    </row>
    <row r="1007" spans="1:16" ht="18" hidden="1" customHeight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122"/>
      <c r="J1007" s="122"/>
      <c r="K1007" s="122"/>
      <c r="L1007" s="122"/>
      <c r="M1007" s="74">
        <v>28053</v>
      </c>
      <c r="N1007" s="75" t="s">
        <v>19</v>
      </c>
      <c r="O1007" s="75" t="s">
        <v>203</v>
      </c>
      <c r="P1007" s="134" t="str">
        <f>IF(AND('331-CT'!$E$7=TH!H1007,OR(N1007="331",O1007="331")),"x","")</f>
        <v/>
      </c>
    </row>
    <row r="1008" spans="1:16" ht="18" hidden="1" customHeight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122"/>
      <c r="J1008" s="122"/>
      <c r="K1008" s="122"/>
      <c r="L1008" s="122"/>
      <c r="M1008" s="74">
        <v>305830</v>
      </c>
      <c r="N1008" s="75" t="s">
        <v>241</v>
      </c>
      <c r="O1008" s="75" t="s">
        <v>203</v>
      </c>
      <c r="P1008" s="134" t="str">
        <f>IF(AND('331-CT'!$E$7=TH!H1008,OR(N1008="331",O1008="331")),"x","")</f>
        <v/>
      </c>
    </row>
    <row r="1009" spans="1:16" ht="18" hidden="1" customHeight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122"/>
      <c r="J1009" s="122"/>
      <c r="K1009" s="122"/>
      <c r="L1009" s="122"/>
      <c r="M1009" s="74">
        <v>30583</v>
      </c>
      <c r="N1009" s="75" t="s">
        <v>19</v>
      </c>
      <c r="O1009" s="75" t="s">
        <v>203</v>
      </c>
      <c r="P1009" s="134" t="str">
        <f>IF(AND('331-CT'!$E$7=TH!H1009,OR(N1009="331",O1009="331")),"x","")</f>
        <v/>
      </c>
    </row>
    <row r="1010" spans="1:16" ht="18" hidden="1" customHeight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122"/>
      <c r="J1010" s="122"/>
      <c r="K1010" s="122"/>
      <c r="L1010" s="122"/>
      <c r="M1010" s="74">
        <v>6700000</v>
      </c>
      <c r="N1010" s="75" t="s">
        <v>241</v>
      </c>
      <c r="O1010" s="75" t="s">
        <v>203</v>
      </c>
      <c r="P1010" s="134" t="str">
        <f>IF(AND('331-CT'!$E$7=TH!H1010,OR(N1010="331",O1010="331")),"x","")</f>
        <v/>
      </c>
    </row>
    <row r="1011" spans="1:16" ht="18" hidden="1" customHeight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122"/>
      <c r="J1011" s="122"/>
      <c r="K1011" s="122"/>
      <c r="L1011" s="122"/>
      <c r="M1011" s="74">
        <v>670000</v>
      </c>
      <c r="N1011" s="75" t="s">
        <v>19</v>
      </c>
      <c r="O1011" s="75" t="s">
        <v>203</v>
      </c>
      <c r="P1011" s="134" t="str">
        <f>IF(AND('331-CT'!$E$7=TH!H1011,OR(N1011="331",O1011="331")),"x","")</f>
        <v/>
      </c>
    </row>
    <row r="1012" spans="1:16" ht="18" hidden="1" customHeight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122"/>
      <c r="J1012" s="122"/>
      <c r="K1012" s="122"/>
      <c r="L1012" s="122"/>
      <c r="M1012" s="74">
        <v>280636364</v>
      </c>
      <c r="N1012" s="75" t="s">
        <v>654</v>
      </c>
      <c r="O1012" s="75" t="s">
        <v>18</v>
      </c>
      <c r="P1012" s="134" t="str">
        <f>IF(AND('331-CT'!$E$7=TH!H1012,OR(N1012="331",O1012="331")),"x","")</f>
        <v/>
      </c>
    </row>
    <row r="1013" spans="1:16" ht="18" hidden="1" customHeight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122"/>
      <c r="J1013" s="122"/>
      <c r="K1013" s="122"/>
      <c r="L1013" s="122"/>
      <c r="M1013" s="74">
        <v>28063636</v>
      </c>
      <c r="N1013" s="75" t="s">
        <v>19</v>
      </c>
      <c r="O1013" s="75" t="s">
        <v>18</v>
      </c>
      <c r="P1013" s="134" t="str">
        <f>IF(AND('331-CT'!$E$7=TH!H1013,OR(N1013="331",O1013="331")),"x","")</f>
        <v/>
      </c>
    </row>
    <row r="1014" spans="1:16" ht="18" hidden="1" customHeight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122"/>
      <c r="J1014" s="122"/>
      <c r="K1014" s="122"/>
      <c r="L1014" s="122"/>
      <c r="M1014" s="74">
        <v>8183794</v>
      </c>
      <c r="N1014" s="75" t="s">
        <v>239</v>
      </c>
      <c r="O1014" s="75" t="s">
        <v>54</v>
      </c>
      <c r="P1014" s="134" t="str">
        <f>IF(AND('331-CT'!$E$7=TH!H1014,OR(N1014="331",O1014="331")),"x","")</f>
        <v/>
      </c>
    </row>
    <row r="1015" spans="1:16" ht="18" hidden="1" customHeight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122"/>
      <c r="J1015" s="122"/>
      <c r="K1015" s="122"/>
      <c r="L1015" s="122"/>
      <c r="M1015" s="74">
        <v>165000000</v>
      </c>
      <c r="N1015" s="75" t="s">
        <v>54</v>
      </c>
      <c r="O1015" s="75" t="s">
        <v>203</v>
      </c>
      <c r="P1015" s="134" t="str">
        <f>IF(AND('331-CT'!$E$7=TH!H1015,OR(N1015="331",O1015="331")),"x","")</f>
        <v/>
      </c>
    </row>
    <row r="1016" spans="1:16" ht="18" hidden="1" customHeight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122"/>
      <c r="J1016" s="122"/>
      <c r="K1016" s="122"/>
      <c r="L1016" s="122"/>
      <c r="M1016" s="74">
        <v>9042800</v>
      </c>
      <c r="N1016" s="75" t="s">
        <v>241</v>
      </c>
      <c r="O1016" s="75" t="s">
        <v>203</v>
      </c>
      <c r="P1016" s="134" t="str">
        <f>IF(AND('331-CT'!$E$7=TH!H1016,OR(N1016="331",O1016="331")),"x","")</f>
        <v/>
      </c>
    </row>
    <row r="1017" spans="1:16" ht="18" hidden="1" customHeight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122"/>
      <c r="J1017" s="122"/>
      <c r="K1017" s="122"/>
      <c r="L1017" s="122"/>
      <c r="M1017" s="74">
        <v>452140</v>
      </c>
      <c r="N1017" s="75" t="s">
        <v>19</v>
      </c>
      <c r="O1017" s="75" t="s">
        <v>203</v>
      </c>
      <c r="P1017" s="134" t="str">
        <f>IF(AND('331-CT'!$E$7=TH!H1017,OR(N1017="331",O1017="331")),"x","")</f>
        <v/>
      </c>
    </row>
    <row r="1018" spans="1:16" ht="18" hidden="1" customHeight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122"/>
      <c r="J1018" s="122"/>
      <c r="K1018" s="122"/>
      <c r="L1018" s="122"/>
      <c r="M1018" s="74">
        <v>455818182</v>
      </c>
      <c r="N1018" s="75" t="s">
        <v>654</v>
      </c>
      <c r="O1018" s="75" t="s">
        <v>18</v>
      </c>
      <c r="P1018" s="134" t="str">
        <f>IF(AND('331-CT'!$E$7=TH!H1018,OR(N1018="331",O1018="331")),"x","")</f>
        <v/>
      </c>
    </row>
    <row r="1019" spans="1:16" ht="18" hidden="1" customHeight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122"/>
      <c r="J1019" s="122"/>
      <c r="K1019" s="122"/>
      <c r="L1019" s="122"/>
      <c r="M1019" s="74">
        <v>45581818</v>
      </c>
      <c r="N1019" s="75" t="s">
        <v>19</v>
      </c>
      <c r="O1019" s="75" t="s">
        <v>18</v>
      </c>
      <c r="P1019" s="134" t="str">
        <f>IF(AND('331-CT'!$E$7=TH!H1019,OR(N1019="331",O1019="331")),"x","")</f>
        <v/>
      </c>
    </row>
    <row r="1020" spans="1:16" ht="18" hidden="1" customHeight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122"/>
      <c r="J1020" s="122"/>
      <c r="K1020" s="122"/>
      <c r="L1020" s="122"/>
      <c r="M1020" s="74">
        <v>16374064</v>
      </c>
      <c r="N1020" s="75" t="s">
        <v>239</v>
      </c>
      <c r="O1020" s="75" t="s">
        <v>54</v>
      </c>
      <c r="P1020" s="134" t="str">
        <f>IF(AND('331-CT'!$E$7=TH!H1020,OR(N1020="331",O1020="331")),"x","")</f>
        <v/>
      </c>
    </row>
    <row r="1021" spans="1:16" ht="18" hidden="1" customHeight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122"/>
      <c r="J1021" s="122"/>
      <c r="K1021" s="122"/>
      <c r="L1021" s="122"/>
      <c r="M1021" s="74">
        <v>13099251</v>
      </c>
      <c r="N1021" s="75" t="s">
        <v>239</v>
      </c>
      <c r="O1021" s="75" t="s">
        <v>54</v>
      </c>
      <c r="P1021" s="134" t="str">
        <f>IF(AND('331-CT'!$E$7=TH!H1021,OR(N1021="331",O1021="331")),"x","")</f>
        <v/>
      </c>
    </row>
    <row r="1022" spans="1:16" ht="18" hidden="1" customHeight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122"/>
      <c r="J1022" s="122"/>
      <c r="K1022" s="122"/>
      <c r="L1022" s="122"/>
      <c r="M1022" s="74">
        <v>12280547</v>
      </c>
      <c r="N1022" s="75" t="s">
        <v>239</v>
      </c>
      <c r="O1022" s="75" t="s">
        <v>54</v>
      </c>
      <c r="P1022" s="134" t="str">
        <f>IF(AND('331-CT'!$E$7=TH!H1022,OR(N1022="331",O1022="331")),"x","")</f>
        <v/>
      </c>
    </row>
    <row r="1023" spans="1:16" ht="18" hidden="1" customHeight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122"/>
      <c r="J1023" s="122"/>
      <c r="K1023" s="122"/>
      <c r="L1023" s="122"/>
      <c r="M1023" s="74">
        <v>8187032</v>
      </c>
      <c r="N1023" s="75" t="s">
        <v>239</v>
      </c>
      <c r="O1023" s="75" t="s">
        <v>54</v>
      </c>
      <c r="P1023" s="134" t="str">
        <f>IF(AND('331-CT'!$E$7=TH!H1023,OR(N1023="331",O1023="331")),"x","")</f>
        <v/>
      </c>
    </row>
    <row r="1024" spans="1:16" ht="18" hidden="1" customHeight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122"/>
      <c r="J1024" s="122"/>
      <c r="K1024" s="122"/>
      <c r="L1024" s="122"/>
      <c r="M1024" s="74">
        <v>12280547</v>
      </c>
      <c r="N1024" s="75" t="s">
        <v>239</v>
      </c>
      <c r="O1024" s="75" t="s">
        <v>54</v>
      </c>
      <c r="P1024" s="134" t="str">
        <f>IF(AND('331-CT'!$E$7=TH!H1024,OR(N1024="331",O1024="331")),"x","")</f>
        <v/>
      </c>
    </row>
    <row r="1025" spans="1:16" ht="18" hidden="1" customHeight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122"/>
      <c r="J1025" s="122"/>
      <c r="K1025" s="122"/>
      <c r="L1025" s="122"/>
      <c r="M1025" s="74">
        <v>16374064</v>
      </c>
      <c r="N1025" s="75" t="s">
        <v>239</v>
      </c>
      <c r="O1025" s="75" t="s">
        <v>54</v>
      </c>
      <c r="P1025" s="134" t="str">
        <f>IF(AND('331-CT'!$E$7=TH!H1025,OR(N1025="331",O1025="331")),"x","")</f>
        <v/>
      </c>
    </row>
    <row r="1026" spans="1:16" ht="18" hidden="1" customHeight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122"/>
      <c r="J1026" s="122"/>
      <c r="K1026" s="122"/>
      <c r="L1026" s="122"/>
      <c r="M1026" s="74">
        <v>11461845</v>
      </c>
      <c r="N1026" s="75" t="s">
        <v>239</v>
      </c>
      <c r="O1026" s="75" t="s">
        <v>54</v>
      </c>
      <c r="P1026" s="134" t="str">
        <f>IF(AND('331-CT'!$E$7=TH!H1026,OR(N1026="331",O1026="331")),"x","")</f>
        <v/>
      </c>
    </row>
    <row r="1027" spans="1:16" ht="18" hidden="1" customHeight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122"/>
      <c r="J1027" s="122"/>
      <c r="K1027" s="122"/>
      <c r="L1027" s="122"/>
      <c r="M1027" s="74">
        <v>12280547</v>
      </c>
      <c r="N1027" s="75" t="s">
        <v>239</v>
      </c>
      <c r="O1027" s="75" t="s">
        <v>54</v>
      </c>
      <c r="P1027" s="134" t="str">
        <f>IF(AND('331-CT'!$E$7=TH!H1027,OR(N1027="331",O1027="331")),"x","")</f>
        <v/>
      </c>
    </row>
    <row r="1028" spans="1:16" ht="18" hidden="1" customHeight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122"/>
      <c r="J1028" s="122"/>
      <c r="K1028" s="122"/>
      <c r="L1028" s="122"/>
      <c r="M1028" s="74">
        <v>12280547</v>
      </c>
      <c r="N1028" s="75" t="s">
        <v>239</v>
      </c>
      <c r="O1028" s="75" t="s">
        <v>54</v>
      </c>
      <c r="P1028" s="134" t="str">
        <f>IF(AND('331-CT'!$E$7=TH!H1028,OR(N1028="331",O1028="331")),"x","")</f>
        <v/>
      </c>
    </row>
    <row r="1029" spans="1:16" ht="18" hidden="1" customHeight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122"/>
      <c r="J1029" s="122"/>
      <c r="K1029" s="122"/>
      <c r="L1029" s="122"/>
      <c r="M1029" s="74">
        <v>12280547</v>
      </c>
      <c r="N1029" s="75" t="s">
        <v>239</v>
      </c>
      <c r="O1029" s="75" t="s">
        <v>54</v>
      </c>
      <c r="P1029" s="134" t="str">
        <f>IF(AND('331-CT'!$E$7=TH!H1029,OR(N1029="331",O1029="331")),"x","")</f>
        <v/>
      </c>
    </row>
    <row r="1030" spans="1:16" ht="18" hidden="1" customHeight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122"/>
      <c r="J1030" s="122"/>
      <c r="K1030" s="122"/>
      <c r="L1030" s="122"/>
      <c r="M1030" s="74">
        <v>12280547</v>
      </c>
      <c r="N1030" s="75" t="s">
        <v>239</v>
      </c>
      <c r="O1030" s="75" t="s">
        <v>54</v>
      </c>
      <c r="P1030" s="134" t="str">
        <f>IF(AND('331-CT'!$E$7=TH!H1030,OR(N1030="331",O1030="331")),"x","")</f>
        <v/>
      </c>
    </row>
    <row r="1031" spans="1:16" ht="18" hidden="1" customHeight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122"/>
      <c r="J1031" s="122"/>
      <c r="K1031" s="122"/>
      <c r="L1031" s="122"/>
      <c r="M1031" s="74">
        <v>8187032</v>
      </c>
      <c r="N1031" s="75" t="s">
        <v>239</v>
      </c>
      <c r="O1031" s="75" t="s">
        <v>54</v>
      </c>
      <c r="P1031" s="134" t="str">
        <f>IF(AND('331-CT'!$E$7=TH!H1031,OR(N1031="331",O1031="331")),"x","")</f>
        <v/>
      </c>
    </row>
    <row r="1032" spans="1:16" ht="18" hidden="1" customHeight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122"/>
      <c r="J1032" s="122"/>
      <c r="K1032" s="122"/>
      <c r="L1032" s="122"/>
      <c r="M1032" s="74">
        <v>8187032</v>
      </c>
      <c r="N1032" s="75" t="s">
        <v>239</v>
      </c>
      <c r="O1032" s="75" t="s">
        <v>54</v>
      </c>
      <c r="P1032" s="134" t="str">
        <f>IF(AND('331-CT'!$E$7=TH!H1032,OR(N1032="331",O1032="331")),"x","")</f>
        <v/>
      </c>
    </row>
    <row r="1033" spans="1:16" ht="18" hidden="1" customHeight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122"/>
      <c r="J1033" s="122"/>
      <c r="K1033" s="122"/>
      <c r="L1033" s="122"/>
      <c r="M1033" s="74">
        <v>36579400</v>
      </c>
      <c r="N1033" s="75" t="s">
        <v>241</v>
      </c>
      <c r="O1033" s="75" t="s">
        <v>18</v>
      </c>
      <c r="P1033" s="134" t="str">
        <f>IF(AND('331-CT'!$E$7=TH!H1033,OR(N1033="331",O1033="331")),"x","")</f>
        <v/>
      </c>
    </row>
    <row r="1034" spans="1:16" ht="18" hidden="1" customHeight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122"/>
      <c r="J1034" s="122"/>
      <c r="K1034" s="122"/>
      <c r="L1034" s="122"/>
      <c r="M1034" s="74">
        <v>3657940</v>
      </c>
      <c r="N1034" s="75" t="s">
        <v>19</v>
      </c>
      <c r="O1034" s="75" t="s">
        <v>18</v>
      </c>
      <c r="P1034" s="134" t="str">
        <f>IF(AND('331-CT'!$E$7=TH!H1034,OR(N1034="331",O1034="331")),"x","")</f>
        <v/>
      </c>
    </row>
    <row r="1035" spans="1:16" ht="18" hidden="1" customHeight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122"/>
      <c r="J1035" s="122"/>
      <c r="K1035" s="122"/>
      <c r="L1035" s="122"/>
      <c r="M1035" s="74">
        <v>4937000</v>
      </c>
      <c r="N1035" s="75" t="s">
        <v>654</v>
      </c>
      <c r="O1035" s="75" t="s">
        <v>203</v>
      </c>
      <c r="P1035" s="134" t="str">
        <f>IF(AND('331-CT'!$E$7=TH!H1035,OR(N1035="331",O1035="331")),"x","")</f>
        <v/>
      </c>
    </row>
    <row r="1036" spans="1:16" ht="18" hidden="1" customHeight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122"/>
      <c r="J1036" s="122"/>
      <c r="K1036" s="122"/>
      <c r="L1036" s="122"/>
      <c r="M1036" s="74">
        <v>3856320</v>
      </c>
      <c r="N1036" s="75" t="s">
        <v>654</v>
      </c>
      <c r="O1036" s="75" t="s">
        <v>203</v>
      </c>
      <c r="P1036" s="134" t="str">
        <f>IF(AND('331-CT'!$E$7=TH!H1036,OR(N1036="331",O1036="331")),"x","")</f>
        <v/>
      </c>
    </row>
    <row r="1037" spans="1:16" ht="18" hidden="1" customHeight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122"/>
      <c r="J1037" s="122"/>
      <c r="K1037" s="122"/>
      <c r="L1037" s="122"/>
      <c r="M1037" s="74">
        <v>385632</v>
      </c>
      <c r="N1037" s="75" t="s">
        <v>19</v>
      </c>
      <c r="O1037" s="75" t="s">
        <v>203</v>
      </c>
      <c r="P1037" s="134" t="str">
        <f>IF(AND('331-CT'!$E$7=TH!H1037,OR(N1037="331",O1037="331")),"x","")</f>
        <v/>
      </c>
    </row>
    <row r="1038" spans="1:16" ht="18" hidden="1" customHeight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122"/>
      <c r="J1038" s="122"/>
      <c r="K1038" s="122"/>
      <c r="L1038" s="122"/>
      <c r="M1038" s="74">
        <v>40000000</v>
      </c>
      <c r="N1038" s="75" t="s">
        <v>54</v>
      </c>
      <c r="O1038" s="75" t="s">
        <v>203</v>
      </c>
      <c r="P1038" s="134" t="str">
        <f>IF(AND('331-CT'!$E$7=TH!H1038,OR(N1038="331",O1038="331")),"x","")</f>
        <v/>
      </c>
    </row>
    <row r="1039" spans="1:16" ht="18" hidden="1" customHeight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122"/>
      <c r="J1039" s="122"/>
      <c r="K1039" s="122"/>
      <c r="L1039" s="122"/>
      <c r="M1039" s="74">
        <v>2418182</v>
      </c>
      <c r="N1039" s="75" t="s">
        <v>241</v>
      </c>
      <c r="O1039" s="75" t="s">
        <v>203</v>
      </c>
      <c r="P1039" s="134" t="str">
        <f>IF(AND('331-CT'!$E$7=TH!H1039,OR(N1039="331",O1039="331")),"x","")</f>
        <v/>
      </c>
    </row>
    <row r="1040" spans="1:16" ht="18" hidden="1" customHeight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122"/>
      <c r="J1040" s="122"/>
      <c r="K1040" s="122"/>
      <c r="L1040" s="122"/>
      <c r="M1040" s="74">
        <v>241818</v>
      </c>
      <c r="N1040" s="75" t="s">
        <v>19</v>
      </c>
      <c r="O1040" s="75" t="s">
        <v>203</v>
      </c>
      <c r="P1040" s="134" t="str">
        <f>IF(AND('331-CT'!$E$7=TH!H1040,OR(N1040="331",O1040="331")),"x","")</f>
        <v/>
      </c>
    </row>
    <row r="1041" spans="1:16" ht="18" hidden="1" customHeight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122"/>
      <c r="J1041" s="122"/>
      <c r="K1041" s="122"/>
      <c r="L1041" s="122"/>
      <c r="M1041" s="74">
        <v>11730210</v>
      </c>
      <c r="N1041" s="75" t="s">
        <v>654</v>
      </c>
      <c r="O1041" s="75" t="s">
        <v>203</v>
      </c>
      <c r="P1041" s="134" t="str">
        <f>IF(AND('331-CT'!$E$7=TH!H1041,OR(N1041="331",O1041="331")),"x","")</f>
        <v/>
      </c>
    </row>
    <row r="1042" spans="1:16" ht="18" hidden="1" customHeight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122"/>
      <c r="J1042" s="122"/>
      <c r="K1042" s="122"/>
      <c r="L1042" s="122"/>
      <c r="M1042" s="74">
        <v>1173021</v>
      </c>
      <c r="N1042" s="75" t="s">
        <v>19</v>
      </c>
      <c r="O1042" s="75" t="s">
        <v>203</v>
      </c>
      <c r="P1042" s="134" t="str">
        <f>IF(AND('331-CT'!$E$7=TH!H1042,OR(N1042="331",O1042="331")),"x","")</f>
        <v/>
      </c>
    </row>
    <row r="1043" spans="1:16" ht="18" hidden="1" customHeight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122"/>
      <c r="J1043" s="122"/>
      <c r="K1043" s="122"/>
      <c r="L1043" s="122"/>
      <c r="M1043" s="74">
        <v>38659940</v>
      </c>
      <c r="N1043" s="75" t="s">
        <v>18</v>
      </c>
      <c r="O1043" s="75" t="s">
        <v>54</v>
      </c>
      <c r="P1043" s="134" t="str">
        <f>IF(AND('331-CT'!$E$7=TH!H1043,OR(N1043="331",O1043="331")),"x","")</f>
        <v/>
      </c>
    </row>
    <row r="1044" spans="1:16" ht="18" hidden="1" customHeight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122"/>
      <c r="J1044" s="122"/>
      <c r="K1044" s="122"/>
      <c r="L1044" s="122"/>
      <c r="M1044" s="74">
        <v>45000</v>
      </c>
      <c r="N1044" s="75" t="s">
        <v>241</v>
      </c>
      <c r="O1044" s="75" t="s">
        <v>54</v>
      </c>
      <c r="P1044" s="134" t="str">
        <f>IF(AND('331-CT'!$E$7=TH!H1044,OR(N1044="331",O1044="331")),"x","")</f>
        <v/>
      </c>
    </row>
    <row r="1045" spans="1:16" ht="18" hidden="1" customHeight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122"/>
      <c r="J1045" s="122"/>
      <c r="K1045" s="122"/>
      <c r="L1045" s="122"/>
      <c r="M1045" s="74">
        <v>4500</v>
      </c>
      <c r="N1045" s="75" t="s">
        <v>19</v>
      </c>
      <c r="O1045" s="75" t="s">
        <v>54</v>
      </c>
      <c r="P1045" s="134" t="str">
        <f>IF(AND('331-CT'!$E$7=TH!H1045,OR(N1045="331",O1045="331")),"x","")</f>
        <v/>
      </c>
    </row>
    <row r="1046" spans="1:16" ht="18" hidden="1" customHeight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122"/>
      <c r="J1046" s="122"/>
      <c r="K1046" s="122"/>
      <c r="L1046" s="122"/>
      <c r="M1046" s="74">
        <v>10000000</v>
      </c>
      <c r="N1046" s="75" t="s">
        <v>212</v>
      </c>
      <c r="O1046" s="75" t="s">
        <v>54</v>
      </c>
      <c r="P1046" s="134" t="str">
        <f>IF(AND('331-CT'!$E$7=TH!H1046,OR(N1046="331",O1046="331")),"x","")</f>
        <v/>
      </c>
    </row>
    <row r="1047" spans="1:16" ht="18" hidden="1" customHeight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122"/>
      <c r="J1047" s="122"/>
      <c r="K1047" s="122"/>
      <c r="L1047" s="122"/>
      <c r="M1047" s="74">
        <v>10000000</v>
      </c>
      <c r="N1047" s="75" t="s">
        <v>203</v>
      </c>
      <c r="O1047" s="75" t="s">
        <v>212</v>
      </c>
      <c r="P1047" s="134" t="str">
        <f>IF(AND('331-CT'!$E$7=TH!H1047,OR(N1047="331",O1047="331")),"x","")</f>
        <v/>
      </c>
    </row>
    <row r="1048" spans="1:16" ht="18" hidden="1" customHeight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122"/>
      <c r="J1048" s="122"/>
      <c r="K1048" s="122"/>
      <c r="L1048" s="122"/>
      <c r="M1048" s="74">
        <v>1689997900</v>
      </c>
      <c r="N1048" s="75" t="s">
        <v>654</v>
      </c>
      <c r="O1048" s="75" t="s">
        <v>18</v>
      </c>
      <c r="P1048" s="134" t="str">
        <f>IF(AND('331-CT'!$E$7=TH!H1048,OR(N1048="331",O1048="331")),"x","")</f>
        <v/>
      </c>
    </row>
    <row r="1049" spans="1:16" ht="18" hidden="1" customHeight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122"/>
      <c r="J1049" s="122"/>
      <c r="K1049" s="122"/>
      <c r="L1049" s="122"/>
      <c r="M1049" s="74">
        <v>168999790</v>
      </c>
      <c r="N1049" s="75" t="s">
        <v>19</v>
      </c>
      <c r="O1049" s="75" t="s">
        <v>18</v>
      </c>
      <c r="P1049" s="134" t="str">
        <f>IF(AND('331-CT'!$E$7=TH!H1049,OR(N1049="331",O1049="331")),"x","")</f>
        <v/>
      </c>
    </row>
    <row r="1050" spans="1:16" ht="18" hidden="1" customHeight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122"/>
      <c r="J1050" s="122"/>
      <c r="K1050" s="122"/>
      <c r="L1050" s="122"/>
      <c r="M1050" s="74">
        <v>1520000</v>
      </c>
      <c r="N1050" s="75" t="s">
        <v>654</v>
      </c>
      <c r="O1050" s="75" t="s">
        <v>203</v>
      </c>
      <c r="P1050" s="134" t="str">
        <f>IF(AND('331-CT'!$E$7=TH!H1050,OR(N1050="331",O1050="331")),"x","")</f>
        <v/>
      </c>
    </row>
    <row r="1051" spans="1:16" ht="18" hidden="1" customHeight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122"/>
      <c r="J1051" s="122"/>
      <c r="K1051" s="122"/>
      <c r="L1051" s="122"/>
      <c r="M1051" s="74">
        <v>3778000</v>
      </c>
      <c r="N1051" s="75" t="s">
        <v>654</v>
      </c>
      <c r="O1051" s="75" t="s">
        <v>203</v>
      </c>
      <c r="P1051" s="134" t="str">
        <f>IF(AND('331-CT'!$E$7=TH!H1051,OR(N1051="331",O1051="331")),"x","")</f>
        <v/>
      </c>
    </row>
    <row r="1052" spans="1:16" ht="18" hidden="1" customHeight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122"/>
      <c r="J1052" s="122"/>
      <c r="K1052" s="122"/>
      <c r="L1052" s="122"/>
      <c r="M1052" s="74">
        <v>1000000000</v>
      </c>
      <c r="N1052" s="75" t="s">
        <v>203</v>
      </c>
      <c r="O1052" s="75" t="s">
        <v>39</v>
      </c>
      <c r="P1052" s="134" t="str">
        <f>IF(AND('331-CT'!$E$7=TH!H1052,OR(N1052="331",O1052="331")),"x","")</f>
        <v/>
      </c>
    </row>
    <row r="1053" spans="1:16" ht="18" hidden="1" customHeight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122"/>
      <c r="J1053" s="122"/>
      <c r="K1053" s="122"/>
      <c r="L1053" s="122"/>
      <c r="M1053" s="74">
        <v>250000000</v>
      </c>
      <c r="N1053" s="75" t="s">
        <v>54</v>
      </c>
      <c r="O1053" s="75" t="s">
        <v>203</v>
      </c>
      <c r="P1053" s="134" t="str">
        <f>IF(AND('331-CT'!$E$7=TH!H1053,OR(N1053="331",O1053="331")),"x","")</f>
        <v/>
      </c>
    </row>
    <row r="1054" spans="1:16" ht="18" hidden="1" customHeight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122"/>
      <c r="J1054" s="122"/>
      <c r="K1054" s="122"/>
      <c r="L1054" s="122"/>
      <c r="M1054" s="74">
        <v>16200000</v>
      </c>
      <c r="N1054" s="75" t="s">
        <v>654</v>
      </c>
      <c r="O1054" s="75" t="s">
        <v>203</v>
      </c>
      <c r="P1054" s="134" t="str">
        <f>IF(AND('331-CT'!$E$7=TH!H1054,OR(N1054="331",O1054="331")),"x","")</f>
        <v/>
      </c>
    </row>
    <row r="1055" spans="1:16" ht="18" hidden="1" customHeight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122"/>
      <c r="J1055" s="122"/>
      <c r="K1055" s="122"/>
      <c r="L1055" s="122"/>
      <c r="M1055" s="74">
        <v>1620000</v>
      </c>
      <c r="N1055" s="75" t="s">
        <v>19</v>
      </c>
      <c r="O1055" s="75" t="s">
        <v>203</v>
      </c>
      <c r="P1055" s="134" t="str">
        <f>IF(AND('331-CT'!$E$7=TH!H1055,OR(N1055="331",O1055="331")),"x","")</f>
        <v/>
      </c>
    </row>
    <row r="1056" spans="1:16" ht="18" hidden="1" customHeight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122"/>
      <c r="J1056" s="122"/>
      <c r="K1056" s="122"/>
      <c r="L1056" s="122"/>
      <c r="M1056" s="74">
        <v>2990000</v>
      </c>
      <c r="N1056" s="75" t="s">
        <v>654</v>
      </c>
      <c r="O1056" s="75" t="s">
        <v>203</v>
      </c>
      <c r="P1056" s="134" t="str">
        <f>IF(AND('331-CT'!$E$7=TH!H1056,OR(N1056="331",O1056="331")),"x","")</f>
        <v/>
      </c>
    </row>
    <row r="1057" spans="1:16" ht="18" hidden="1" customHeight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122"/>
      <c r="J1057" s="122"/>
      <c r="K1057" s="122"/>
      <c r="L1057" s="122"/>
      <c r="M1057" s="74">
        <v>30000000</v>
      </c>
      <c r="N1057" s="75" t="s">
        <v>18</v>
      </c>
      <c r="O1057" s="75" t="s">
        <v>54</v>
      </c>
      <c r="P1057" s="134" t="str">
        <f>IF(AND('331-CT'!$E$7=TH!H1057,OR(N1057="331",O1057="331")),"x","")</f>
        <v/>
      </c>
    </row>
    <row r="1058" spans="1:16" ht="18" hidden="1" customHeight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122"/>
      <c r="J1058" s="122"/>
      <c r="K1058" s="122"/>
      <c r="L1058" s="122"/>
      <c r="M1058" s="74">
        <v>25000</v>
      </c>
      <c r="N1058" s="75" t="s">
        <v>241</v>
      </c>
      <c r="O1058" s="75" t="s">
        <v>54</v>
      </c>
      <c r="P1058" s="134" t="str">
        <f>IF(AND('331-CT'!$E$7=TH!H1058,OR(N1058="331",O1058="331")),"x","")</f>
        <v/>
      </c>
    </row>
    <row r="1059" spans="1:16" ht="18" hidden="1" customHeight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122"/>
      <c r="J1059" s="122"/>
      <c r="K1059" s="122"/>
      <c r="L1059" s="122"/>
      <c r="M1059" s="74">
        <v>2500</v>
      </c>
      <c r="N1059" s="75" t="s">
        <v>19</v>
      </c>
      <c r="O1059" s="75" t="s">
        <v>54</v>
      </c>
      <c r="P1059" s="134" t="str">
        <f>IF(AND('331-CT'!$E$7=TH!H1059,OR(N1059="331",O1059="331")),"x","")</f>
        <v/>
      </c>
    </row>
    <row r="1060" spans="1:16" ht="18" hidden="1" customHeight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122"/>
      <c r="J1060" s="122"/>
      <c r="K1060" s="122"/>
      <c r="L1060" s="122"/>
      <c r="M1060" s="74">
        <v>200000000</v>
      </c>
      <c r="N1060" s="75" t="s">
        <v>18</v>
      </c>
      <c r="O1060" s="75" t="s">
        <v>54</v>
      </c>
      <c r="P1060" s="134" t="str">
        <f>IF(AND('331-CT'!$E$7=TH!H1060,OR(N1060="331",O1060="331")),"x","")</f>
        <v/>
      </c>
    </row>
    <row r="1061" spans="1:16" ht="18" hidden="1" customHeight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122"/>
      <c r="J1061" s="122"/>
      <c r="K1061" s="122"/>
      <c r="L1061" s="122"/>
      <c r="M1061" s="74">
        <v>100000</v>
      </c>
      <c r="N1061" s="75" t="s">
        <v>241</v>
      </c>
      <c r="O1061" s="75" t="s">
        <v>54</v>
      </c>
      <c r="P1061" s="134" t="str">
        <f>IF(AND('331-CT'!$E$7=TH!H1061,OR(N1061="331",O1061="331")),"x","")</f>
        <v/>
      </c>
    </row>
    <row r="1062" spans="1:16" ht="18" hidden="1" customHeight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122"/>
      <c r="J1062" s="122"/>
      <c r="K1062" s="122"/>
      <c r="L1062" s="122"/>
      <c r="M1062" s="74">
        <v>10000</v>
      </c>
      <c r="N1062" s="75" t="s">
        <v>19</v>
      </c>
      <c r="O1062" s="75" t="s">
        <v>54</v>
      </c>
      <c r="P1062" s="134" t="str">
        <f>IF(AND('331-CT'!$E$7=TH!H1062,OR(N1062="331",O1062="331")),"x","")</f>
        <v/>
      </c>
    </row>
    <row r="1063" spans="1:16" ht="18" hidden="1" customHeight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122"/>
      <c r="J1063" s="122"/>
      <c r="K1063" s="122"/>
      <c r="L1063" s="122"/>
      <c r="M1063" s="74">
        <v>692000</v>
      </c>
      <c r="N1063" s="75" t="s">
        <v>654</v>
      </c>
      <c r="O1063" s="75" t="s">
        <v>203</v>
      </c>
      <c r="P1063" s="134" t="str">
        <f>IF(AND('331-CT'!$E$7=TH!H1063,OR(N1063="331",O1063="331")),"x","")</f>
        <v/>
      </c>
    </row>
    <row r="1064" spans="1:16" ht="18" hidden="1" customHeight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122"/>
      <c r="J1064" s="122"/>
      <c r="K1064" s="122"/>
      <c r="L1064" s="122"/>
      <c r="M1064" s="74">
        <v>3739000</v>
      </c>
      <c r="N1064" s="75" t="s">
        <v>654</v>
      </c>
      <c r="O1064" s="75" t="s">
        <v>203</v>
      </c>
      <c r="P1064" s="134" t="str">
        <f>IF(AND('331-CT'!$E$7=TH!H1064,OR(N1064="331",O1064="331")),"x","")</f>
        <v/>
      </c>
    </row>
    <row r="1065" spans="1:16" ht="18" hidden="1" customHeight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122"/>
      <c r="J1065" s="122"/>
      <c r="K1065" s="122"/>
      <c r="L1065" s="122"/>
      <c r="M1065" s="74">
        <v>7090909</v>
      </c>
      <c r="N1065" s="75" t="s">
        <v>241</v>
      </c>
      <c r="O1065" s="75" t="s">
        <v>203</v>
      </c>
      <c r="P1065" s="134" t="str">
        <f>IF(AND('331-CT'!$E$7=TH!H1065,OR(N1065="331",O1065="331")),"x","")</f>
        <v/>
      </c>
    </row>
    <row r="1066" spans="1:16" ht="18" hidden="1" customHeight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122"/>
      <c r="J1066" s="122"/>
      <c r="K1066" s="122"/>
      <c r="L1066" s="122"/>
      <c r="M1066" s="74">
        <v>709091</v>
      </c>
      <c r="N1066" s="75" t="s">
        <v>19</v>
      </c>
      <c r="O1066" s="75" t="s">
        <v>203</v>
      </c>
      <c r="P1066" s="134" t="str">
        <f>IF(AND('331-CT'!$E$7=TH!H1066,OR(N1066="331",O1066="331")),"x","")</f>
        <v/>
      </c>
    </row>
    <row r="1067" spans="1:16" ht="18" hidden="1" customHeight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122"/>
      <c r="J1067" s="122"/>
      <c r="K1067" s="122"/>
      <c r="L1067" s="122"/>
      <c r="M1067" s="74">
        <v>11700000</v>
      </c>
      <c r="N1067" s="75" t="s">
        <v>654</v>
      </c>
      <c r="O1067" s="75" t="s">
        <v>203</v>
      </c>
      <c r="P1067" s="134" t="str">
        <f>IF(AND('331-CT'!$E$7=TH!H1067,OR(N1067="331",O1067="331")),"x","")</f>
        <v/>
      </c>
    </row>
    <row r="1068" spans="1:16" ht="18" hidden="1" customHeight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122"/>
      <c r="J1068" s="122"/>
      <c r="K1068" s="122"/>
      <c r="L1068" s="122"/>
      <c r="M1068" s="74">
        <v>1170000</v>
      </c>
      <c r="N1068" s="75" t="s">
        <v>19</v>
      </c>
      <c r="O1068" s="75" t="s">
        <v>203</v>
      </c>
      <c r="P1068" s="134" t="str">
        <f>IF(AND('331-CT'!$E$7=TH!H1068,OR(N1068="331",O1068="331")),"x","")</f>
        <v/>
      </c>
    </row>
    <row r="1069" spans="1:16" ht="18" hidden="1" customHeight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122"/>
      <c r="J1069" s="122"/>
      <c r="K1069" s="122"/>
      <c r="L1069" s="122"/>
      <c r="M1069" s="74">
        <v>472127</v>
      </c>
      <c r="N1069" s="75" t="s">
        <v>241</v>
      </c>
      <c r="O1069" s="75" t="s">
        <v>203</v>
      </c>
      <c r="P1069" s="134" t="str">
        <f>IF(AND('331-CT'!$E$7=TH!H1069,OR(N1069="331",O1069="331")),"x","")</f>
        <v/>
      </c>
    </row>
    <row r="1070" spans="1:16" ht="18" hidden="1" customHeight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122"/>
      <c r="J1070" s="122"/>
      <c r="K1070" s="122"/>
      <c r="L1070" s="122"/>
      <c r="M1070" s="74">
        <v>47213</v>
      </c>
      <c r="N1070" s="75" t="s">
        <v>19</v>
      </c>
      <c r="O1070" s="75" t="s">
        <v>203</v>
      </c>
      <c r="P1070" s="134" t="str">
        <f>IF(AND('331-CT'!$E$7=TH!H1070,OR(N1070="331",O1070="331")),"x","")</f>
        <v/>
      </c>
    </row>
    <row r="1071" spans="1:16" ht="18" hidden="1" customHeight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122"/>
      <c r="J1071" s="122"/>
      <c r="K1071" s="122"/>
      <c r="L1071" s="122"/>
      <c r="M1071" s="74">
        <v>6818182</v>
      </c>
      <c r="N1071" s="75" t="s">
        <v>241</v>
      </c>
      <c r="O1071" s="75" t="s">
        <v>203</v>
      </c>
      <c r="P1071" s="134" t="str">
        <f>IF(AND('331-CT'!$E$7=TH!H1071,OR(N1071="331",O1071="331")),"x","")</f>
        <v/>
      </c>
    </row>
    <row r="1072" spans="1:16" ht="18" hidden="1" customHeight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122"/>
      <c r="J1072" s="122"/>
      <c r="K1072" s="122"/>
      <c r="L1072" s="122"/>
      <c r="M1072" s="74">
        <v>681818</v>
      </c>
      <c r="N1072" s="75" t="s">
        <v>19</v>
      </c>
      <c r="O1072" s="75" t="s">
        <v>203</v>
      </c>
      <c r="P1072" s="134" t="str">
        <f>IF(AND('331-CT'!$E$7=TH!H1072,OR(N1072="331",O1072="331")),"x","")</f>
        <v/>
      </c>
    </row>
    <row r="1073" spans="1:16" ht="18" hidden="1" customHeight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122"/>
      <c r="J1073" s="122"/>
      <c r="K1073" s="122"/>
      <c r="L1073" s="122"/>
      <c r="M1073" s="74">
        <v>11700000</v>
      </c>
      <c r="N1073" s="75" t="s">
        <v>654</v>
      </c>
      <c r="O1073" s="75" t="s">
        <v>203</v>
      </c>
      <c r="P1073" s="134" t="str">
        <f>IF(AND('331-CT'!$E$7=TH!H1073,OR(N1073="331",O1073="331")),"x","")</f>
        <v/>
      </c>
    </row>
    <row r="1074" spans="1:16" ht="18" hidden="1" customHeight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122"/>
      <c r="J1074" s="122"/>
      <c r="K1074" s="122"/>
      <c r="L1074" s="122"/>
      <c r="M1074" s="74">
        <v>1170000</v>
      </c>
      <c r="N1074" s="75" t="s">
        <v>19</v>
      </c>
      <c r="O1074" s="75" t="s">
        <v>203</v>
      </c>
      <c r="P1074" s="134" t="str">
        <f>IF(AND('331-CT'!$E$7=TH!H1074,OR(N1074="331",O1074="331")),"x","")</f>
        <v/>
      </c>
    </row>
    <row r="1075" spans="1:16" ht="18" hidden="1" customHeight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122"/>
      <c r="J1075" s="122"/>
      <c r="K1075" s="122"/>
      <c r="L1075" s="122"/>
      <c r="M1075" s="74">
        <v>450000000</v>
      </c>
      <c r="N1075" s="75" t="s">
        <v>54</v>
      </c>
      <c r="O1075" s="75" t="s">
        <v>203</v>
      </c>
      <c r="P1075" s="134" t="str">
        <f>IF(AND('331-CT'!$E$7=TH!H1075,OR(N1075="331",O1075="331")),"x","")</f>
        <v/>
      </c>
    </row>
    <row r="1076" spans="1:16" ht="18" hidden="1" customHeight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122"/>
      <c r="J1076" s="122"/>
      <c r="K1076" s="122"/>
      <c r="L1076" s="122"/>
      <c r="M1076" s="74">
        <v>40237340</v>
      </c>
      <c r="N1076" s="75" t="s">
        <v>18</v>
      </c>
      <c r="O1076" s="75" t="s">
        <v>54</v>
      </c>
      <c r="P1076" s="134" t="str">
        <f>IF(AND('331-CT'!$E$7=TH!H1076,OR(N1076="331",O1076="331")),"x","")</f>
        <v/>
      </c>
    </row>
    <row r="1077" spans="1:16" ht="18" hidden="1" customHeight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122"/>
      <c r="J1077" s="122"/>
      <c r="K1077" s="122"/>
      <c r="L1077" s="122"/>
      <c r="M1077" s="74">
        <v>45000</v>
      </c>
      <c r="N1077" s="75" t="s">
        <v>241</v>
      </c>
      <c r="O1077" s="75" t="s">
        <v>54</v>
      </c>
      <c r="P1077" s="134" t="str">
        <f>IF(AND('331-CT'!$E$7=TH!H1077,OR(N1077="331",O1077="331")),"x","")</f>
        <v/>
      </c>
    </row>
    <row r="1078" spans="1:16" ht="18" hidden="1" customHeight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122"/>
      <c r="J1078" s="122"/>
      <c r="K1078" s="122"/>
      <c r="L1078" s="122"/>
      <c r="M1078" s="74">
        <v>4500</v>
      </c>
      <c r="N1078" s="75" t="s">
        <v>19</v>
      </c>
      <c r="O1078" s="75" t="s">
        <v>54</v>
      </c>
      <c r="P1078" s="134" t="str">
        <f>IF(AND('331-CT'!$E$7=TH!H1078,OR(N1078="331",O1078="331")),"x","")</f>
        <v/>
      </c>
    </row>
    <row r="1079" spans="1:16" ht="18" hidden="1" customHeight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122"/>
      <c r="J1079" s="122"/>
      <c r="K1079" s="122"/>
      <c r="L1079" s="122"/>
      <c r="M1079" s="74">
        <v>200000000</v>
      </c>
      <c r="N1079" s="75" t="s">
        <v>18</v>
      </c>
      <c r="O1079" s="75" t="s">
        <v>54</v>
      </c>
      <c r="P1079" s="134" t="str">
        <f>IF(AND('331-CT'!$E$7=TH!H1079,OR(N1079="331",O1079="331")),"x","")</f>
        <v/>
      </c>
    </row>
    <row r="1080" spans="1:16" ht="18" hidden="1" customHeight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122"/>
      <c r="J1080" s="122"/>
      <c r="K1080" s="122"/>
      <c r="L1080" s="122"/>
      <c r="M1080" s="74">
        <v>120000</v>
      </c>
      <c r="N1080" s="75" t="s">
        <v>241</v>
      </c>
      <c r="O1080" s="75" t="s">
        <v>54</v>
      </c>
      <c r="P1080" s="134" t="str">
        <f>IF(AND('331-CT'!$E$7=TH!H1080,OR(N1080="331",O1080="331")),"x","")</f>
        <v/>
      </c>
    </row>
    <row r="1081" spans="1:16" ht="18" hidden="1" customHeight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122"/>
      <c r="J1081" s="122"/>
      <c r="K1081" s="122"/>
      <c r="L1081" s="122"/>
      <c r="M1081" s="74">
        <v>12000</v>
      </c>
      <c r="N1081" s="75" t="s">
        <v>19</v>
      </c>
      <c r="O1081" s="75" t="s">
        <v>54</v>
      </c>
      <c r="P1081" s="134" t="str">
        <f>IF(AND('331-CT'!$E$7=TH!H1081,OR(N1081="331",O1081="331")),"x","")</f>
        <v/>
      </c>
    </row>
    <row r="1082" spans="1:16" ht="18" hidden="1" customHeight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122"/>
      <c r="J1082" s="122"/>
      <c r="K1082" s="122"/>
      <c r="L1082" s="122"/>
      <c r="M1082" s="74">
        <v>16743100</v>
      </c>
      <c r="N1082" s="75" t="s">
        <v>18</v>
      </c>
      <c r="O1082" s="75" t="s">
        <v>54</v>
      </c>
      <c r="P1082" s="134" t="str">
        <f>IF(AND('331-CT'!$E$7=TH!H1082,OR(N1082="331",O1082="331")),"x","")</f>
        <v/>
      </c>
    </row>
    <row r="1083" spans="1:16" ht="18" hidden="1" customHeight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122"/>
      <c r="J1083" s="122"/>
      <c r="K1083" s="122"/>
      <c r="L1083" s="122"/>
      <c r="M1083" s="74">
        <v>40000</v>
      </c>
      <c r="N1083" s="75" t="s">
        <v>241</v>
      </c>
      <c r="O1083" s="75" t="s">
        <v>54</v>
      </c>
      <c r="P1083" s="134" t="str">
        <f>IF(AND('331-CT'!$E$7=TH!H1083,OR(N1083="331",O1083="331")),"x","")</f>
        <v/>
      </c>
    </row>
    <row r="1084" spans="1:16" ht="18" hidden="1" customHeight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122"/>
      <c r="J1084" s="122"/>
      <c r="K1084" s="122"/>
      <c r="L1084" s="122"/>
      <c r="M1084" s="74">
        <v>4000</v>
      </c>
      <c r="N1084" s="75" t="s">
        <v>19</v>
      </c>
      <c r="O1084" s="75" t="s">
        <v>54</v>
      </c>
      <c r="P1084" s="134" t="str">
        <f>IF(AND('331-CT'!$E$7=TH!H1084,OR(N1084="331",O1084="331")),"x","")</f>
        <v/>
      </c>
    </row>
    <row r="1085" spans="1:16" ht="18" hidden="1" customHeight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122"/>
      <c r="J1085" s="122"/>
      <c r="K1085" s="122"/>
      <c r="L1085" s="122"/>
      <c r="M1085" s="74">
        <v>114906620</v>
      </c>
      <c r="N1085" s="75" t="s">
        <v>18</v>
      </c>
      <c r="O1085" s="75" t="s">
        <v>54</v>
      </c>
      <c r="P1085" s="134" t="str">
        <f>IF(AND('331-CT'!$E$7=TH!H1085,OR(N1085="331",O1085="331")),"x","")</f>
        <v/>
      </c>
    </row>
    <row r="1086" spans="1:16" ht="18" hidden="1" customHeight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122"/>
      <c r="J1086" s="122"/>
      <c r="K1086" s="122"/>
      <c r="L1086" s="122"/>
      <c r="M1086" s="74">
        <v>91925</v>
      </c>
      <c r="N1086" s="75" t="s">
        <v>241</v>
      </c>
      <c r="O1086" s="75" t="s">
        <v>54</v>
      </c>
      <c r="P1086" s="134" t="str">
        <f>IF(AND('331-CT'!$E$7=TH!H1086,OR(N1086="331",O1086="331")),"x","")</f>
        <v/>
      </c>
    </row>
    <row r="1087" spans="1:16" ht="18" hidden="1" customHeight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122"/>
      <c r="J1087" s="122"/>
      <c r="K1087" s="122"/>
      <c r="L1087" s="122"/>
      <c r="M1087" s="74">
        <v>9192</v>
      </c>
      <c r="N1087" s="75" t="s">
        <v>19</v>
      </c>
      <c r="O1087" s="75" t="s">
        <v>54</v>
      </c>
      <c r="P1087" s="134" t="str">
        <f>IF(AND('331-CT'!$E$7=TH!H1087,OR(N1087="331",O1087="331")),"x","")</f>
        <v/>
      </c>
    </row>
    <row r="1088" spans="1:16" ht="18" hidden="1" customHeight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122"/>
      <c r="J1088" s="122"/>
      <c r="K1088" s="122"/>
      <c r="L1088" s="122"/>
      <c r="M1088" s="74">
        <v>75000000</v>
      </c>
      <c r="N1088" s="75" t="s">
        <v>18</v>
      </c>
      <c r="O1088" s="75" t="s">
        <v>54</v>
      </c>
      <c r="P1088" s="134" t="str">
        <f>IF(AND('331-CT'!$E$7=TH!H1088,OR(N1088="331",O1088="331")),"x","")</f>
        <v/>
      </c>
    </row>
    <row r="1089" spans="1:16" ht="18" hidden="1" customHeight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122"/>
      <c r="J1089" s="122"/>
      <c r="K1089" s="122"/>
      <c r="L1089" s="122"/>
      <c r="M1089" s="74">
        <v>45000</v>
      </c>
      <c r="N1089" s="75" t="s">
        <v>241</v>
      </c>
      <c r="O1089" s="75" t="s">
        <v>54</v>
      </c>
      <c r="P1089" s="134" t="str">
        <f>IF(AND('331-CT'!$E$7=TH!H1089,OR(N1089="331",O1089="331")),"x","")</f>
        <v/>
      </c>
    </row>
    <row r="1090" spans="1:16" ht="18" hidden="1" customHeight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122"/>
      <c r="J1090" s="122"/>
      <c r="K1090" s="122"/>
      <c r="L1090" s="122"/>
      <c r="M1090" s="74">
        <v>4500</v>
      </c>
      <c r="N1090" s="75" t="s">
        <v>19</v>
      </c>
      <c r="O1090" s="75" t="s">
        <v>54</v>
      </c>
      <c r="P1090" s="134" t="str">
        <f>IF(AND('331-CT'!$E$7=TH!H1090,OR(N1090="331",O1090="331")),"x","")</f>
        <v/>
      </c>
    </row>
    <row r="1091" spans="1:16" ht="18" hidden="1" customHeight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122"/>
      <c r="J1091" s="122"/>
      <c r="K1091" s="122"/>
      <c r="L1091" s="122"/>
      <c r="M1091" s="74">
        <v>34392600</v>
      </c>
      <c r="N1091" s="75" t="s">
        <v>241</v>
      </c>
      <c r="O1091" s="75" t="s">
        <v>18</v>
      </c>
      <c r="P1091" s="134" t="str">
        <f>IF(AND('331-CT'!$E$7=TH!H1091,OR(N1091="331",O1091="331")),"x","")</f>
        <v/>
      </c>
    </row>
    <row r="1092" spans="1:16" ht="18" hidden="1" customHeight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122"/>
      <c r="J1092" s="122"/>
      <c r="K1092" s="122"/>
      <c r="L1092" s="122"/>
      <c r="M1092" s="74">
        <v>3439260</v>
      </c>
      <c r="N1092" s="75" t="s">
        <v>19</v>
      </c>
      <c r="O1092" s="75" t="s">
        <v>18</v>
      </c>
      <c r="P1092" s="134" t="str">
        <f>IF(AND('331-CT'!$E$7=TH!H1092,OR(N1092="331",O1092="331")),"x","")</f>
        <v/>
      </c>
    </row>
    <row r="1093" spans="1:16" ht="18" hidden="1" customHeight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122"/>
      <c r="J1093" s="122"/>
      <c r="K1093" s="122"/>
      <c r="L1093" s="122"/>
      <c r="M1093" s="74">
        <v>7916667</v>
      </c>
      <c r="N1093" s="75" t="s">
        <v>239</v>
      </c>
      <c r="O1093" s="75" t="s">
        <v>54</v>
      </c>
      <c r="P1093" s="134" t="str">
        <f>IF(AND('331-CT'!$E$7=TH!H1093,OR(N1093="331",O1093="331")),"x","")</f>
        <v/>
      </c>
    </row>
    <row r="1094" spans="1:16" ht="18" hidden="1" customHeight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122"/>
      <c r="J1094" s="122"/>
      <c r="K1094" s="122"/>
      <c r="L1094" s="122"/>
      <c r="M1094" s="74">
        <v>7916667</v>
      </c>
      <c r="N1094" s="75" t="s">
        <v>239</v>
      </c>
      <c r="O1094" s="75" t="s">
        <v>54</v>
      </c>
      <c r="P1094" s="134" t="str">
        <f>IF(AND('331-CT'!$E$7=TH!H1094,OR(N1094="331",O1094="331")),"x","")</f>
        <v/>
      </c>
    </row>
    <row r="1095" spans="1:16" ht="18" hidden="1" customHeight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122"/>
      <c r="J1095" s="122"/>
      <c r="K1095" s="122"/>
      <c r="L1095" s="122"/>
      <c r="M1095" s="74">
        <v>15833333</v>
      </c>
      <c r="N1095" s="75" t="s">
        <v>239</v>
      </c>
      <c r="O1095" s="75" t="s">
        <v>54</v>
      </c>
      <c r="P1095" s="134" t="str">
        <f>IF(AND('331-CT'!$E$7=TH!H1095,OR(N1095="331",O1095="331")),"x","")</f>
        <v/>
      </c>
    </row>
    <row r="1096" spans="1:16" ht="18" hidden="1" customHeight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122"/>
      <c r="J1096" s="122"/>
      <c r="K1096" s="122"/>
      <c r="L1096" s="122"/>
      <c r="M1096" s="74">
        <v>31372800</v>
      </c>
      <c r="N1096" s="75" t="s">
        <v>654</v>
      </c>
      <c r="O1096" s="75" t="s">
        <v>18</v>
      </c>
      <c r="P1096" s="134" t="str">
        <f>IF(AND('331-CT'!$E$7=TH!H1096,OR(N1096="331",O1096="331")),"x","")</f>
        <v/>
      </c>
    </row>
    <row r="1097" spans="1:16" ht="18" hidden="1" customHeight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122"/>
      <c r="J1097" s="122"/>
      <c r="K1097" s="122"/>
      <c r="L1097" s="122"/>
      <c r="M1097" s="74">
        <v>3137280</v>
      </c>
      <c r="N1097" s="75" t="s">
        <v>19</v>
      </c>
      <c r="O1097" s="75" t="s">
        <v>18</v>
      </c>
      <c r="P1097" s="134" t="str">
        <f>IF(AND('331-CT'!$E$7=TH!H1097,OR(N1097="331",O1097="331")),"x","")</f>
        <v/>
      </c>
    </row>
    <row r="1098" spans="1:16" ht="18" hidden="1" customHeight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122"/>
      <c r="J1098" s="122"/>
      <c r="K1098" s="122"/>
      <c r="L1098" s="122"/>
      <c r="M1098" s="74">
        <v>170000000</v>
      </c>
      <c r="N1098" s="75" t="s">
        <v>54</v>
      </c>
      <c r="O1098" s="75" t="s">
        <v>203</v>
      </c>
      <c r="P1098" s="134" t="str">
        <f>IF(AND('331-CT'!$E$7=TH!H1098,OR(N1098="331",O1098="331")),"x","")</f>
        <v/>
      </c>
    </row>
    <row r="1099" spans="1:16" ht="18" hidden="1" customHeight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122"/>
      <c r="J1099" s="122"/>
      <c r="K1099" s="122"/>
      <c r="L1099" s="122"/>
      <c r="M1099" s="74">
        <v>12681709</v>
      </c>
      <c r="N1099" s="75" t="s">
        <v>239</v>
      </c>
      <c r="O1099" s="75" t="s">
        <v>54</v>
      </c>
      <c r="P1099" s="134" t="str">
        <f>IF(AND('331-CT'!$E$7=TH!H1099,OR(N1099="331",O1099="331")),"x","")</f>
        <v/>
      </c>
    </row>
    <row r="1100" spans="1:16" ht="18" hidden="1" customHeight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122"/>
      <c r="J1100" s="122"/>
      <c r="K1100" s="122"/>
      <c r="L1100" s="122"/>
      <c r="M1100" s="74">
        <v>11889102</v>
      </c>
      <c r="N1100" s="75" t="s">
        <v>239</v>
      </c>
      <c r="O1100" s="75" t="s">
        <v>54</v>
      </c>
      <c r="P1100" s="134" t="str">
        <f>IF(AND('331-CT'!$E$7=TH!H1100,OR(N1100="331",O1100="331")),"x","")</f>
        <v/>
      </c>
    </row>
    <row r="1101" spans="1:16" ht="18" hidden="1" customHeight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122"/>
      <c r="J1101" s="122"/>
      <c r="K1101" s="122"/>
      <c r="L1101" s="122"/>
      <c r="M1101" s="74">
        <v>11889102</v>
      </c>
      <c r="N1101" s="75" t="s">
        <v>239</v>
      </c>
      <c r="O1101" s="75" t="s">
        <v>54</v>
      </c>
      <c r="P1101" s="134" t="str">
        <f>IF(AND('331-CT'!$E$7=TH!H1101,OR(N1101="331",O1101="331")),"x","")</f>
        <v/>
      </c>
    </row>
    <row r="1102" spans="1:16" ht="18" hidden="1" customHeight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122"/>
      <c r="J1102" s="122"/>
      <c r="K1102" s="122"/>
      <c r="L1102" s="122"/>
      <c r="M1102" s="74">
        <v>15852135</v>
      </c>
      <c r="N1102" s="75" t="s">
        <v>239</v>
      </c>
      <c r="O1102" s="75" t="s">
        <v>54</v>
      </c>
      <c r="P1102" s="134" t="str">
        <f>IF(AND('331-CT'!$E$7=TH!H1102,OR(N1102="331",O1102="331")),"x","")</f>
        <v/>
      </c>
    </row>
    <row r="1103" spans="1:16" ht="18" hidden="1" customHeight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122"/>
      <c r="J1103" s="122"/>
      <c r="K1103" s="122"/>
      <c r="L1103" s="122"/>
      <c r="M1103" s="74">
        <v>11096494</v>
      </c>
      <c r="N1103" s="75" t="s">
        <v>239</v>
      </c>
      <c r="O1103" s="75" t="s">
        <v>54</v>
      </c>
      <c r="P1103" s="134" t="str">
        <f>IF(AND('331-CT'!$E$7=TH!H1103,OR(N1103="331",O1103="331")),"x","")</f>
        <v/>
      </c>
    </row>
    <row r="1104" spans="1:16" ht="18" hidden="1" customHeight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122"/>
      <c r="J1104" s="122"/>
      <c r="K1104" s="122"/>
      <c r="L1104" s="122"/>
      <c r="M1104" s="74">
        <v>11889102</v>
      </c>
      <c r="N1104" s="75" t="s">
        <v>239</v>
      </c>
      <c r="O1104" s="75" t="s">
        <v>54</v>
      </c>
      <c r="P1104" s="134" t="str">
        <f>IF(AND('331-CT'!$E$7=TH!H1104,OR(N1104="331",O1104="331")),"x","")</f>
        <v/>
      </c>
    </row>
    <row r="1105" spans="1:17" ht="18" hidden="1" customHeight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122"/>
      <c r="J1105" s="122"/>
      <c r="K1105" s="122"/>
      <c r="L1105" s="122"/>
      <c r="M1105" s="74">
        <v>11889102</v>
      </c>
      <c r="N1105" s="75" t="s">
        <v>239</v>
      </c>
      <c r="O1105" s="75" t="s">
        <v>54</v>
      </c>
      <c r="P1105" s="134" t="str">
        <f>IF(AND('331-CT'!$E$7=TH!H1105,OR(N1105="331",O1105="331")),"x","")</f>
        <v/>
      </c>
    </row>
    <row r="1106" spans="1:17" ht="18" hidden="1" customHeight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122"/>
      <c r="J1106" s="122"/>
      <c r="K1106" s="122"/>
      <c r="L1106" s="122"/>
      <c r="M1106" s="74">
        <v>11889102</v>
      </c>
      <c r="N1106" s="75" t="s">
        <v>239</v>
      </c>
      <c r="O1106" s="75" t="s">
        <v>54</v>
      </c>
      <c r="P1106" s="134" t="str">
        <f>IF(AND('331-CT'!$E$7=TH!H1106,OR(N1106="331",O1106="331")),"x","")</f>
        <v/>
      </c>
      <c r="Q1106" s="388"/>
    </row>
    <row r="1107" spans="1:17" ht="18" hidden="1" customHeight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122"/>
      <c r="J1107" s="122"/>
      <c r="K1107" s="122"/>
      <c r="L1107" s="122"/>
      <c r="M1107" s="74">
        <v>7926068</v>
      </c>
      <c r="N1107" s="75" t="s">
        <v>239</v>
      </c>
      <c r="O1107" s="75" t="s">
        <v>54</v>
      </c>
      <c r="P1107" s="134" t="str">
        <f>IF(AND('331-CT'!$E$7=TH!H1107,OR(N1107="331",O1107="331")),"x","")</f>
        <v/>
      </c>
    </row>
    <row r="1108" spans="1:17" ht="18" hidden="1" customHeight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122"/>
      <c r="J1108" s="122"/>
      <c r="K1108" s="122"/>
      <c r="L1108" s="122"/>
      <c r="M1108" s="74">
        <v>7926068</v>
      </c>
      <c r="N1108" s="75" t="s">
        <v>239</v>
      </c>
      <c r="O1108" s="75" t="s">
        <v>54</v>
      </c>
      <c r="P1108" s="134" t="str">
        <f>IF(AND('331-CT'!$E$7=TH!H1108,OR(N1108="331",O1108="331")),"x","")</f>
        <v/>
      </c>
    </row>
    <row r="1109" spans="1:17" ht="18" hidden="1" customHeight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314"/>
      <c r="J1109" s="314"/>
      <c r="K1109" s="314"/>
      <c r="L1109" s="314"/>
      <c r="M1109" s="74">
        <v>11889102</v>
      </c>
      <c r="N1109" s="315" t="s">
        <v>239</v>
      </c>
      <c r="O1109" s="315" t="s">
        <v>54</v>
      </c>
      <c r="P1109" s="134" t="str">
        <f>IF(AND('331-CT'!$E$7=TH!H1109,OR(N1109="331",O1109="331")),"x","")</f>
        <v/>
      </c>
    </row>
    <row r="1110" spans="1:17" ht="18" hidden="1" customHeight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314"/>
      <c r="J1110" s="314"/>
      <c r="K1110" s="314"/>
      <c r="L1110" s="314"/>
      <c r="M1110" s="74">
        <v>37831860</v>
      </c>
      <c r="N1110" s="315" t="s">
        <v>18</v>
      </c>
      <c r="O1110" s="315" t="s">
        <v>54</v>
      </c>
      <c r="P1110" s="134" t="str">
        <f>IF(AND('331-CT'!$E$7=TH!H1110,OR(N1110="331",O1110="331")),"x","")</f>
        <v/>
      </c>
    </row>
    <row r="1111" spans="1:17" ht="18" hidden="1" customHeight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314"/>
      <c r="J1111" s="314"/>
      <c r="K1111" s="314"/>
      <c r="L1111" s="314"/>
      <c r="M1111" s="74">
        <v>45000</v>
      </c>
      <c r="N1111" s="315" t="s">
        <v>241</v>
      </c>
      <c r="O1111" s="315" t="s">
        <v>54</v>
      </c>
      <c r="P1111" s="134" t="str">
        <f>IF(AND('331-CT'!$E$7=TH!H1111,OR(N1111="331",O1111="331")),"x","")</f>
        <v/>
      </c>
    </row>
    <row r="1112" spans="1:17" ht="18" hidden="1" customHeight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314"/>
      <c r="J1112" s="314"/>
      <c r="K1112" s="314"/>
      <c r="L1112" s="314"/>
      <c r="M1112" s="74">
        <v>4500</v>
      </c>
      <c r="N1112" s="315" t="s">
        <v>19</v>
      </c>
      <c r="O1112" s="315" t="s">
        <v>54</v>
      </c>
      <c r="P1112" s="134" t="str">
        <f>IF(AND('331-CT'!$E$7=TH!H1112,OR(N1112="331",O1112="331")),"x","")</f>
        <v/>
      </c>
    </row>
    <row r="1113" spans="1:17" ht="18" hidden="1" customHeight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314"/>
      <c r="J1113" s="314"/>
      <c r="K1113" s="314"/>
      <c r="L1113" s="314"/>
      <c r="M1113" s="74">
        <v>1982640000</v>
      </c>
      <c r="N1113" s="315" t="s">
        <v>54</v>
      </c>
      <c r="O1113" s="315" t="s">
        <v>1237</v>
      </c>
      <c r="P1113" s="134" t="str">
        <f>IF(AND('331-CT'!$E$7=TH!H1113,OR(N1113="331",O1113="331")),"x","")</f>
        <v/>
      </c>
    </row>
    <row r="1114" spans="1:17" ht="18" hidden="1" customHeight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0"/>
      <c r="J1114" s="410"/>
      <c r="K1114" s="410"/>
      <c r="L1114" s="410"/>
      <c r="M1114" s="411">
        <v>26816</v>
      </c>
      <c r="N1114" s="412" t="s">
        <v>54</v>
      </c>
      <c r="O1114" s="412" t="s">
        <v>99</v>
      </c>
      <c r="P1114" s="134" t="str">
        <f>IF(AND('331-CT'!$E$7=TH!H1114,OR(N1114="331",O1114="331")),"x","")</f>
        <v/>
      </c>
    </row>
    <row r="1115" spans="1:17" ht="18" hidden="1" customHeight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0"/>
      <c r="J1115" s="410"/>
      <c r="K1115" s="410"/>
      <c r="L1115" s="410"/>
      <c r="M1115" s="411">
        <v>34528697</v>
      </c>
      <c r="N1115" s="412" t="s">
        <v>654</v>
      </c>
      <c r="O1115" s="412" t="s">
        <v>18</v>
      </c>
      <c r="P1115" s="134" t="str">
        <f>IF(AND('331-CT'!$E$7=TH!H1115,OR(N1115="331",O1115="331")),"x","")</f>
        <v/>
      </c>
    </row>
    <row r="1116" spans="1:17" ht="18" hidden="1" customHeight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314"/>
      <c r="J1116" s="314"/>
      <c r="K1116" s="314"/>
      <c r="L1116" s="314"/>
      <c r="M1116" s="74">
        <v>3452869</v>
      </c>
      <c r="N1116" s="315" t="s">
        <v>19</v>
      </c>
      <c r="O1116" s="315" t="s">
        <v>18</v>
      </c>
      <c r="P1116" s="134" t="str">
        <f>IF(AND('331-CT'!$E$7=TH!H1116,OR(N1116="331",O1116="331")),"x","")</f>
        <v/>
      </c>
    </row>
    <row r="1117" spans="1:17" ht="18" hidden="1" customHeight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314"/>
      <c r="J1117" s="314"/>
      <c r="K1117" s="314"/>
      <c r="L1117" s="314"/>
      <c r="M1117" s="74">
        <v>13000000</v>
      </c>
      <c r="N1117" s="315" t="s">
        <v>54</v>
      </c>
      <c r="O1117" s="315" t="s">
        <v>203</v>
      </c>
      <c r="P1117" s="134" t="str">
        <f>IF(AND('331-CT'!$E$7=TH!H1117,OR(N1117="331",O1117="331")),"x","")</f>
        <v/>
      </c>
    </row>
    <row r="1118" spans="1:17" ht="18" hidden="1" customHeight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314"/>
      <c r="J1118" s="314"/>
      <c r="K1118" s="314"/>
      <c r="L1118" s="314"/>
      <c r="M1118" s="74">
        <v>2000000000</v>
      </c>
      <c r="N1118" s="315" t="s">
        <v>203</v>
      </c>
      <c r="O1118" s="315" t="s">
        <v>54</v>
      </c>
      <c r="P1118" s="134" t="str">
        <f>IF(AND('331-CT'!$E$7=TH!H1118,OR(N1118="331",O1118="331")),"x","")</f>
        <v/>
      </c>
    </row>
    <row r="1119" spans="1:17" ht="18" hidden="1" customHeight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314"/>
      <c r="J1119" s="314"/>
      <c r="K1119" s="314"/>
      <c r="L1119" s="314"/>
      <c r="M1119" s="74">
        <v>20000</v>
      </c>
      <c r="N1119" s="315" t="s">
        <v>241</v>
      </c>
      <c r="O1119" s="315" t="s">
        <v>54</v>
      </c>
      <c r="P1119" s="134" t="str">
        <f>IF(AND('331-CT'!$E$7=TH!H1119,OR(N1119="331",O1119="331")),"x","")</f>
        <v/>
      </c>
    </row>
    <row r="1120" spans="1:17" ht="18" hidden="1" customHeight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314"/>
      <c r="J1120" s="314"/>
      <c r="K1120" s="314"/>
      <c r="L1120" s="314"/>
      <c r="M1120" s="74">
        <v>2000</v>
      </c>
      <c r="N1120" s="315" t="s">
        <v>19</v>
      </c>
      <c r="O1120" s="315" t="s">
        <v>54</v>
      </c>
      <c r="P1120" s="134" t="str">
        <f>IF(AND('331-CT'!$E$7=TH!H1120,OR(N1120="331",O1120="331")),"x","")</f>
        <v/>
      </c>
    </row>
    <row r="1121" spans="1:16" ht="18" hidden="1" customHeight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314"/>
      <c r="J1121" s="314"/>
      <c r="K1121" s="314"/>
      <c r="L1121" s="314"/>
      <c r="M1121" s="74">
        <v>600000000</v>
      </c>
      <c r="N1121" s="315" t="s">
        <v>54</v>
      </c>
      <c r="O1121" s="315" t="s">
        <v>203</v>
      </c>
      <c r="P1121" s="134" t="str">
        <f>IF(AND('331-CT'!$E$7=TH!H1121,OR(N1121="331",O1121="331")),"x","")</f>
        <v/>
      </c>
    </row>
    <row r="1122" spans="1:16" ht="18" hidden="1" customHeight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314"/>
      <c r="J1122" s="314"/>
      <c r="K1122" s="314"/>
      <c r="L1122" s="314"/>
      <c r="M1122" s="74">
        <v>50000</v>
      </c>
      <c r="N1122" s="315" t="s">
        <v>241</v>
      </c>
      <c r="O1122" s="315" t="s">
        <v>54</v>
      </c>
      <c r="P1122" s="134" t="str">
        <f>IF(AND('331-CT'!$E$7=TH!H1122,OR(N1122="331",O1122="331")),"x","")</f>
        <v/>
      </c>
    </row>
    <row r="1123" spans="1:16" ht="18" hidden="1" customHeight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314"/>
      <c r="J1123" s="314"/>
      <c r="K1123" s="314"/>
      <c r="L1123" s="314"/>
      <c r="M1123" s="74">
        <v>5000</v>
      </c>
      <c r="N1123" s="315" t="s">
        <v>19</v>
      </c>
      <c r="O1123" s="315" t="s">
        <v>54</v>
      </c>
      <c r="P1123" s="134" t="str">
        <f>IF(AND('331-CT'!$E$7=TH!H1123,OR(N1123="331",O1123="331")),"x","")</f>
        <v/>
      </c>
    </row>
    <row r="1124" spans="1:16" ht="18" hidden="1" customHeight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314"/>
      <c r="J1124" s="314"/>
      <c r="K1124" s="314"/>
      <c r="L1124" s="314"/>
      <c r="M1124" s="74">
        <v>50000</v>
      </c>
      <c r="N1124" s="315" t="s">
        <v>241</v>
      </c>
      <c r="O1124" s="315" t="s">
        <v>54</v>
      </c>
      <c r="P1124" s="134" t="str">
        <f>IF(AND('331-CT'!$E$7=TH!H1124,OR(N1124="331",O1124="331")),"x","")</f>
        <v/>
      </c>
    </row>
    <row r="1125" spans="1:16" ht="18" hidden="1" customHeight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122"/>
      <c r="J1125" s="122"/>
      <c r="K1125" s="122"/>
      <c r="L1125" s="122"/>
      <c r="M1125" s="74">
        <v>5000</v>
      </c>
      <c r="N1125" s="75" t="s">
        <v>19</v>
      </c>
      <c r="O1125" s="75" t="s">
        <v>54</v>
      </c>
      <c r="P1125" s="134" t="str">
        <f>IF(AND('331-CT'!$E$7=TH!H1125,OR(N1125="331",O1125="331")),"x","")</f>
        <v/>
      </c>
    </row>
    <row r="1126" spans="1:16" ht="18" hidden="1" customHeight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122"/>
      <c r="J1126" s="122"/>
      <c r="K1126" s="122"/>
      <c r="L1126" s="122"/>
      <c r="M1126" s="74">
        <v>11817800</v>
      </c>
      <c r="N1126" s="75" t="s">
        <v>241</v>
      </c>
      <c r="O1126" s="75" t="s">
        <v>203</v>
      </c>
      <c r="P1126" s="134" t="str">
        <f>IF(AND('331-CT'!$E$7=TH!H1126,OR(N1126="331",O1126="331")),"x","")</f>
        <v/>
      </c>
    </row>
    <row r="1127" spans="1:16" ht="18" hidden="1" customHeight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122"/>
      <c r="J1127" s="122"/>
      <c r="K1127" s="122"/>
      <c r="L1127" s="122"/>
      <c r="M1127" s="74">
        <v>590890</v>
      </c>
      <c r="N1127" s="75" t="s">
        <v>19</v>
      </c>
      <c r="O1127" s="75" t="s">
        <v>203</v>
      </c>
      <c r="P1127" s="134" t="str">
        <f>IF(AND('331-CT'!$E$7=TH!H1127,OR(N1127="331",O1127="331")),"x","")</f>
        <v/>
      </c>
    </row>
    <row r="1128" spans="1:16" ht="18" hidden="1" customHeight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122"/>
      <c r="J1128" s="122"/>
      <c r="K1128" s="122"/>
      <c r="L1128" s="122"/>
      <c r="M1128" s="74">
        <v>33866400</v>
      </c>
      <c r="N1128" s="75" t="s">
        <v>241</v>
      </c>
      <c r="O1128" s="75" t="s">
        <v>18</v>
      </c>
      <c r="P1128" s="134" t="str">
        <f>IF(AND('331-CT'!$E$7=TH!H1128,OR(N1128="331",O1128="331")),"x","")</f>
        <v/>
      </c>
    </row>
    <row r="1129" spans="1:16" ht="18" hidden="1" customHeight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122"/>
      <c r="J1129" s="122"/>
      <c r="K1129" s="122"/>
      <c r="L1129" s="122"/>
      <c r="M1129" s="74">
        <v>3386640</v>
      </c>
      <c r="N1129" s="75" t="s">
        <v>19</v>
      </c>
      <c r="O1129" s="75" t="s">
        <v>18</v>
      </c>
      <c r="P1129" s="134" t="str">
        <f>IF(AND('331-CT'!$E$7=TH!H1129,OR(N1129="331",O1129="331")),"x","")</f>
        <v/>
      </c>
    </row>
    <row r="1130" spans="1:16" ht="18" hidden="1" customHeight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122"/>
      <c r="J1130" s="122"/>
      <c r="K1130" s="122"/>
      <c r="L1130" s="122"/>
      <c r="M1130" s="74">
        <v>910000</v>
      </c>
      <c r="N1130" s="75" t="s">
        <v>241</v>
      </c>
      <c r="O1130" s="75" t="s">
        <v>203</v>
      </c>
      <c r="P1130" s="134" t="str">
        <f>IF(AND('331-CT'!$E$7=TH!H1130,OR(N1130="331",O1130="331")),"x","")</f>
        <v/>
      </c>
    </row>
    <row r="1131" spans="1:16" ht="18" hidden="1" customHeight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122"/>
      <c r="J1131" s="122"/>
      <c r="K1131" s="122"/>
      <c r="L1131" s="122"/>
      <c r="M1131" s="74">
        <v>25721367</v>
      </c>
      <c r="N1131" s="75" t="s">
        <v>241</v>
      </c>
      <c r="O1131" s="75" t="s">
        <v>18</v>
      </c>
      <c r="P1131" s="134" t="str">
        <f>IF(AND('331-CT'!$E$7=TH!H1131,OR(N1131="331",O1131="331")),"x","")</f>
        <v/>
      </c>
    </row>
    <row r="1132" spans="1:16" ht="18" hidden="1" customHeight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122"/>
      <c r="J1132" s="122"/>
      <c r="K1132" s="122"/>
      <c r="L1132" s="122"/>
      <c r="M1132" s="74">
        <v>2572137</v>
      </c>
      <c r="N1132" s="75" t="s">
        <v>19</v>
      </c>
      <c r="O1132" s="75" t="s">
        <v>18</v>
      </c>
      <c r="P1132" s="134" t="str">
        <f>IF(AND('331-CT'!$E$7=TH!H1132,OR(N1132="331",O1132="331")),"x","")</f>
        <v/>
      </c>
    </row>
    <row r="1133" spans="1:16" ht="18" hidden="1" customHeight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122"/>
      <c r="J1133" s="122"/>
      <c r="K1133" s="122"/>
      <c r="L1133" s="122"/>
      <c r="M1133" s="74">
        <v>406490000</v>
      </c>
      <c r="N1133" s="75" t="s">
        <v>18</v>
      </c>
      <c r="O1133" s="75" t="s">
        <v>54</v>
      </c>
      <c r="P1133" s="134" t="str">
        <f>IF(AND('331-CT'!$E$7=TH!H1133,OR(N1133="331",O1133="331")),"x","")</f>
        <v/>
      </c>
    </row>
    <row r="1134" spans="1:16" ht="18" hidden="1" customHeight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122"/>
      <c r="J1134" s="122"/>
      <c r="K1134" s="122"/>
      <c r="L1134" s="122"/>
      <c r="M1134" s="74">
        <v>121947</v>
      </c>
      <c r="N1134" s="75" t="s">
        <v>241</v>
      </c>
      <c r="O1134" s="75" t="s">
        <v>54</v>
      </c>
      <c r="P1134" s="134" t="str">
        <f>IF(AND('331-CT'!$E$7=TH!H1134,OR(N1134="331",O1134="331")),"x","")</f>
        <v/>
      </c>
    </row>
    <row r="1135" spans="1:16" ht="18" hidden="1" customHeight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122"/>
      <c r="J1135" s="122"/>
      <c r="K1135" s="122"/>
      <c r="L1135" s="122"/>
      <c r="M1135" s="74">
        <v>12195</v>
      </c>
      <c r="N1135" s="75" t="s">
        <v>19</v>
      </c>
      <c r="O1135" s="75" t="s">
        <v>54</v>
      </c>
      <c r="P1135" s="134" t="str">
        <f>IF(AND('331-CT'!$E$7=TH!H1135,OR(N1135="331",O1135="331")),"x","")</f>
        <v/>
      </c>
    </row>
    <row r="1136" spans="1:16" ht="18" hidden="1" customHeight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122"/>
      <c r="J1136" s="122"/>
      <c r="K1136" s="122"/>
      <c r="L1136" s="122"/>
      <c r="M1136" s="74">
        <v>123128513</v>
      </c>
      <c r="N1136" s="75" t="s">
        <v>18</v>
      </c>
      <c r="O1136" s="75" t="s">
        <v>54</v>
      </c>
      <c r="P1136" s="134" t="str">
        <f>IF(AND('331-CT'!$E$7=TH!H1136,OR(N1136="331",O1136="331")),"x","")</f>
        <v/>
      </c>
    </row>
    <row r="1137" spans="1:16" ht="18" hidden="1" customHeight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122"/>
      <c r="J1137" s="122"/>
      <c r="K1137" s="122"/>
      <c r="L1137" s="122"/>
      <c r="M1137" s="74">
        <v>61564</v>
      </c>
      <c r="N1137" s="75" t="s">
        <v>241</v>
      </c>
      <c r="O1137" s="75" t="s">
        <v>54</v>
      </c>
      <c r="P1137" s="134" t="str">
        <f>IF(AND('331-CT'!$E$7=TH!H1137,OR(N1137="331",O1137="331")),"x","")</f>
        <v/>
      </c>
    </row>
    <row r="1138" spans="1:16" ht="18" hidden="1" customHeight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122"/>
      <c r="J1138" s="122"/>
      <c r="K1138" s="122"/>
      <c r="L1138" s="122"/>
      <c r="M1138" s="74">
        <v>6156</v>
      </c>
      <c r="N1138" s="75" t="s">
        <v>19</v>
      </c>
      <c r="O1138" s="75" t="s">
        <v>54</v>
      </c>
      <c r="P1138" s="134" t="str">
        <f>IF(AND('331-CT'!$E$7=TH!H1138,OR(N1138="331",O1138="331")),"x","")</f>
        <v/>
      </c>
    </row>
    <row r="1139" spans="1:16" ht="18" hidden="1" customHeight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122"/>
      <c r="J1139" s="122"/>
      <c r="K1139" s="122"/>
      <c r="L1139" s="122"/>
      <c r="M1139" s="74">
        <v>28293504</v>
      </c>
      <c r="N1139" s="75" t="s">
        <v>18</v>
      </c>
      <c r="O1139" s="75" t="s">
        <v>54</v>
      </c>
      <c r="P1139" s="134" t="str">
        <f>IF(AND('331-CT'!$E$7=TH!H1139,OR(N1139="331",O1139="331")),"x","")</f>
        <v/>
      </c>
    </row>
    <row r="1140" spans="1:16" ht="18" hidden="1" customHeight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122"/>
      <c r="J1140" s="122"/>
      <c r="K1140" s="122"/>
      <c r="L1140" s="122"/>
      <c r="M1140" s="74">
        <v>20000</v>
      </c>
      <c r="N1140" s="75" t="s">
        <v>241</v>
      </c>
      <c r="O1140" s="75" t="s">
        <v>54</v>
      </c>
      <c r="P1140" s="134" t="str">
        <f>IF(AND('331-CT'!$E$7=TH!H1140,OR(N1140="331",O1140="331")),"x","")</f>
        <v/>
      </c>
    </row>
    <row r="1141" spans="1:16" ht="18" hidden="1" customHeight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122"/>
      <c r="J1141" s="122"/>
      <c r="K1141" s="122"/>
      <c r="L1141" s="122"/>
      <c r="M1141" s="74">
        <v>2000</v>
      </c>
      <c r="N1141" s="75" t="s">
        <v>19</v>
      </c>
      <c r="O1141" s="75" t="s">
        <v>54</v>
      </c>
      <c r="P1141" s="134" t="str">
        <f>IF(AND('331-CT'!$E$7=TH!H1141,OR(N1141="331",O1141="331")),"x","")</f>
        <v/>
      </c>
    </row>
    <row r="1142" spans="1:16" ht="18" hidden="1" customHeight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122"/>
      <c r="J1142" s="122"/>
      <c r="K1142" s="122"/>
      <c r="L1142" s="122"/>
      <c r="M1142" s="74">
        <v>636500000</v>
      </c>
      <c r="N1142" s="75" t="s">
        <v>654</v>
      </c>
      <c r="O1142" s="75" t="s">
        <v>18</v>
      </c>
      <c r="P1142" s="134" t="str">
        <f>IF(AND('331-CT'!$E$7=TH!H1142,OR(N1142="331",O1142="331")),"x","")</f>
        <v/>
      </c>
    </row>
    <row r="1143" spans="1:16" ht="18" hidden="1" customHeight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122"/>
      <c r="J1143" s="122"/>
      <c r="K1143" s="122"/>
      <c r="L1143" s="122"/>
      <c r="M1143" s="74">
        <v>63650000</v>
      </c>
      <c r="N1143" s="75" t="s">
        <v>19</v>
      </c>
      <c r="O1143" s="75" t="s">
        <v>18</v>
      </c>
      <c r="P1143" s="134" t="str">
        <f>IF(AND('331-CT'!$E$7=TH!H1143,OR(N1143="331",O1143="331")),"x","")</f>
        <v/>
      </c>
    </row>
    <row r="1144" spans="1:16" ht="18" hidden="1" customHeight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122"/>
      <c r="J1144" s="122"/>
      <c r="K1144" s="122"/>
      <c r="L1144" s="122"/>
      <c r="M1144" s="74">
        <v>3636364</v>
      </c>
      <c r="N1144" s="75" t="s">
        <v>241</v>
      </c>
      <c r="O1144" s="75" t="s">
        <v>203</v>
      </c>
      <c r="P1144" s="134" t="str">
        <f>IF(AND('331-CT'!$E$7=TH!H1144,OR(N1144="331",O1144="331")),"x","")</f>
        <v/>
      </c>
    </row>
    <row r="1145" spans="1:16" ht="18" hidden="1" customHeight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122"/>
      <c r="J1145" s="122"/>
      <c r="K1145" s="122"/>
      <c r="L1145" s="122"/>
      <c r="M1145" s="74">
        <v>363636</v>
      </c>
      <c r="N1145" s="75" t="s">
        <v>19</v>
      </c>
      <c r="O1145" s="75" t="s">
        <v>203</v>
      </c>
      <c r="P1145" s="134" t="str">
        <f>IF(AND('331-CT'!$E$7=TH!H1145,OR(N1145="331",O1145="331")),"x","")</f>
        <v/>
      </c>
    </row>
    <row r="1146" spans="1:16" ht="18" hidden="1" customHeight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122"/>
      <c r="J1146" s="122"/>
      <c r="K1146" s="122"/>
      <c r="L1146" s="122"/>
      <c r="M1146" s="74">
        <v>840000</v>
      </c>
      <c r="N1146" s="75" t="s">
        <v>654</v>
      </c>
      <c r="O1146" s="75" t="s">
        <v>203</v>
      </c>
      <c r="P1146" s="134" t="str">
        <f>IF(AND('331-CT'!$E$7=TH!H1146,OR(N1146="331",O1146="331")),"x","")</f>
        <v/>
      </c>
    </row>
    <row r="1147" spans="1:16" ht="18" hidden="1" customHeight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122"/>
      <c r="J1147" s="122"/>
      <c r="K1147" s="122"/>
      <c r="L1147" s="122"/>
      <c r="M1147" s="74">
        <v>10000000</v>
      </c>
      <c r="N1147" s="75" t="s">
        <v>54</v>
      </c>
      <c r="O1147" s="75" t="s">
        <v>203</v>
      </c>
      <c r="P1147" s="134" t="str">
        <f>IF(AND('331-CT'!$E$7=TH!H1147,OR(N1147="331",O1147="331")),"x","")</f>
        <v/>
      </c>
    </row>
    <row r="1148" spans="1:16" ht="18" hidden="1" customHeight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122"/>
      <c r="J1148" s="122"/>
      <c r="K1148" s="122"/>
      <c r="L1148" s="122"/>
      <c r="M1148" s="74">
        <v>37253040</v>
      </c>
      <c r="N1148" s="75" t="s">
        <v>18</v>
      </c>
      <c r="O1148" s="75" t="s">
        <v>54</v>
      </c>
      <c r="P1148" s="134" t="str">
        <f>IF(AND('331-CT'!$E$7=TH!H1148,OR(N1148="331",O1148="331")),"x","")</f>
        <v/>
      </c>
    </row>
    <row r="1149" spans="1:16" ht="18" hidden="1" customHeight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122"/>
      <c r="J1149" s="122"/>
      <c r="K1149" s="122"/>
      <c r="L1149" s="122"/>
      <c r="M1149" s="74">
        <v>25000</v>
      </c>
      <c r="N1149" s="75" t="s">
        <v>241</v>
      </c>
      <c r="O1149" s="75" t="s">
        <v>54</v>
      </c>
      <c r="P1149" s="134" t="str">
        <f>IF(AND('331-CT'!$E$7=TH!H1149,OR(N1149="331",O1149="331")),"x","")</f>
        <v/>
      </c>
    </row>
    <row r="1150" spans="1:16" ht="18" hidden="1" customHeight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122"/>
      <c r="J1150" s="122"/>
      <c r="K1150" s="122"/>
      <c r="L1150" s="122"/>
      <c r="M1150" s="74">
        <v>2500</v>
      </c>
      <c r="N1150" s="75" t="s">
        <v>19</v>
      </c>
      <c r="O1150" s="75" t="s">
        <v>54</v>
      </c>
      <c r="P1150" s="134" t="str">
        <f>IF(AND('331-CT'!$E$7=TH!H1150,OR(N1150="331",O1150="331")),"x","")</f>
        <v/>
      </c>
    </row>
    <row r="1151" spans="1:16" ht="18" hidden="1" customHeight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122"/>
      <c r="J1151" s="122"/>
      <c r="K1151" s="122"/>
      <c r="L1151" s="122"/>
      <c r="M1151" s="74">
        <v>200000000</v>
      </c>
      <c r="N1151" s="75" t="s">
        <v>54</v>
      </c>
      <c r="O1151" s="75" t="s">
        <v>203</v>
      </c>
      <c r="P1151" s="134" t="str">
        <f>IF(AND('331-CT'!$E$7=TH!H1151,OR(N1151="331",O1151="331")),"x","")</f>
        <v/>
      </c>
    </row>
    <row r="1152" spans="1:16" ht="18" hidden="1" customHeight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122"/>
      <c r="J1152" s="122"/>
      <c r="K1152" s="122"/>
      <c r="L1152" s="122"/>
      <c r="M1152" s="74">
        <v>200000000</v>
      </c>
      <c r="N1152" s="75" t="s">
        <v>18</v>
      </c>
      <c r="O1152" s="75" t="s">
        <v>54</v>
      </c>
      <c r="P1152" s="134" t="str">
        <f>IF(AND('331-CT'!$E$7=TH!H1152,OR(N1152="331",O1152="331")),"x","")</f>
        <v/>
      </c>
    </row>
    <row r="1153" spans="1:16" ht="18" hidden="1" customHeight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122"/>
      <c r="J1153" s="122"/>
      <c r="K1153" s="122"/>
      <c r="L1153" s="122"/>
      <c r="M1153" s="74">
        <v>158169</v>
      </c>
      <c r="N1153" s="75" t="s">
        <v>241</v>
      </c>
      <c r="O1153" s="75" t="s">
        <v>54</v>
      </c>
      <c r="P1153" s="134" t="str">
        <f>IF(AND('331-CT'!$E$7=TH!H1153,OR(N1153="331",O1153="331")),"x","")</f>
        <v/>
      </c>
    </row>
    <row r="1154" spans="1:16" ht="18" hidden="1" customHeight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122"/>
      <c r="J1154" s="122"/>
      <c r="K1154" s="122"/>
      <c r="L1154" s="122"/>
      <c r="M1154" s="74">
        <v>15817</v>
      </c>
      <c r="N1154" s="75" t="s">
        <v>19</v>
      </c>
      <c r="O1154" s="75" t="s">
        <v>54</v>
      </c>
      <c r="P1154" s="134" t="str">
        <f>IF(AND('331-CT'!$E$7=TH!H1154,OR(N1154="331",O1154="331")),"x","")</f>
        <v/>
      </c>
    </row>
    <row r="1155" spans="1:16" ht="18" hidden="1" customHeight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122"/>
      <c r="J1155" s="122"/>
      <c r="K1155" s="122"/>
      <c r="L1155" s="122"/>
      <c r="M1155" s="74">
        <v>7397273</v>
      </c>
      <c r="N1155" s="75" t="s">
        <v>654</v>
      </c>
      <c r="O1155" s="75" t="s">
        <v>203</v>
      </c>
      <c r="P1155" s="134" t="str">
        <f>IF(AND('331-CT'!$E$7=TH!H1155,OR(N1155="331",O1155="331")),"x","")</f>
        <v/>
      </c>
    </row>
    <row r="1156" spans="1:16" ht="18" hidden="1" customHeight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122"/>
      <c r="J1156" s="122"/>
      <c r="K1156" s="122"/>
      <c r="L1156" s="122"/>
      <c r="M1156" s="74">
        <v>739727</v>
      </c>
      <c r="N1156" s="75" t="s">
        <v>19</v>
      </c>
      <c r="O1156" s="75" t="s">
        <v>203</v>
      </c>
      <c r="P1156" s="134" t="str">
        <f>IF(AND('331-CT'!$E$7=TH!H1156,OR(N1156="331",O1156="331")),"x","")</f>
        <v/>
      </c>
    </row>
    <row r="1157" spans="1:16" ht="18" hidden="1" customHeight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122"/>
      <c r="J1157" s="122"/>
      <c r="K1157" s="122"/>
      <c r="L1157" s="122"/>
      <c r="M1157" s="74">
        <v>1678844208</v>
      </c>
      <c r="N1157" s="75" t="s">
        <v>54</v>
      </c>
      <c r="O1157" s="75" t="s">
        <v>212</v>
      </c>
      <c r="P1157" s="134" t="str">
        <f>IF(AND('331-CT'!$E$7=TH!H1157,OR(N1157="331",O1157="331")),"x","")</f>
        <v/>
      </c>
    </row>
    <row r="1158" spans="1:16" ht="18" hidden="1" customHeight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122"/>
      <c r="J1158" s="122"/>
      <c r="K1158" s="122"/>
      <c r="L1158" s="122"/>
      <c r="M1158" s="74">
        <v>181818182</v>
      </c>
      <c r="N1158" s="75" t="s">
        <v>654</v>
      </c>
      <c r="O1158" s="75" t="s">
        <v>18</v>
      </c>
      <c r="P1158" s="134" t="str">
        <f>IF(AND('331-CT'!$E$7=TH!H1158,OR(N1158="331",O1158="331")),"x","")</f>
        <v/>
      </c>
    </row>
    <row r="1159" spans="1:16" ht="18" hidden="1" customHeight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122"/>
      <c r="J1159" s="122"/>
      <c r="K1159" s="122"/>
      <c r="L1159" s="122"/>
      <c r="M1159" s="74">
        <v>18181818</v>
      </c>
      <c r="N1159" s="75" t="s">
        <v>19</v>
      </c>
      <c r="O1159" s="75" t="s">
        <v>18</v>
      </c>
      <c r="P1159" s="134" t="str">
        <f>IF(AND('331-CT'!$E$7=TH!H1159,OR(N1159="331",O1159="331")),"x","")</f>
        <v/>
      </c>
    </row>
    <row r="1160" spans="1:16" ht="18" hidden="1" customHeight="1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1202</v>
      </c>
      <c r="H1160" s="122" t="s">
        <v>741</v>
      </c>
      <c r="I1160" s="122"/>
      <c r="J1160" s="122"/>
      <c r="K1160" s="122"/>
      <c r="L1160" s="122"/>
      <c r="M1160" s="74">
        <v>10490880</v>
      </c>
      <c r="N1160" s="75" t="s">
        <v>241</v>
      </c>
      <c r="O1160" s="75" t="s">
        <v>18</v>
      </c>
      <c r="P1160" s="134" t="str">
        <f>IF(AND('331-CT'!$E$7=TH!H1160,OR(N1160="331",O1160="331")),"x","")</f>
        <v/>
      </c>
    </row>
    <row r="1161" spans="1:16" ht="18" hidden="1" customHeight="1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1202</v>
      </c>
      <c r="H1161" s="122" t="s">
        <v>741</v>
      </c>
      <c r="I1161" s="122"/>
      <c r="J1161" s="122"/>
      <c r="K1161" s="122"/>
      <c r="L1161" s="122"/>
      <c r="M1161" s="74">
        <v>1049088</v>
      </c>
      <c r="N1161" s="75" t="s">
        <v>19</v>
      </c>
      <c r="O1161" s="75" t="s">
        <v>18</v>
      </c>
      <c r="P1161" s="134" t="str">
        <f>IF(AND('331-CT'!$E$7=TH!H1161,OR(N1161="331",O1161="331")),"x","")</f>
        <v/>
      </c>
    </row>
    <row r="1162" spans="1:16" ht="18" hidden="1" customHeight="1">
      <c r="A1162" s="72">
        <f>IF(C1162&lt;&gt;"",YEAR(C1162),"")</f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122"/>
      <c r="J1162" s="122"/>
      <c r="K1162" s="122"/>
      <c r="L1162" s="122"/>
      <c r="M1162" s="74">
        <v>4500000</v>
      </c>
      <c r="N1162" s="75" t="s">
        <v>654</v>
      </c>
      <c r="O1162" s="75" t="s">
        <v>203</v>
      </c>
      <c r="P1162" s="134" t="str">
        <f>IF(AND('331-CT'!$E$7=TH!H1162,OR(N1162="331",O1162="331")),"x","")</f>
        <v/>
      </c>
    </row>
    <row r="1163" spans="1:16" ht="18" hidden="1" customHeight="1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122"/>
      <c r="J1163" s="122"/>
      <c r="K1163" s="122"/>
      <c r="L1163" s="122"/>
      <c r="M1163" s="74">
        <v>450000</v>
      </c>
      <c r="N1163" s="75" t="s">
        <v>1443</v>
      </c>
      <c r="O1163" s="75" t="s">
        <v>203</v>
      </c>
      <c r="P1163" s="134" t="str">
        <f>IF(AND('331-CT'!$E$7=TH!H1163,OR(N1163="331",O1163="331")),"x","")</f>
        <v/>
      </c>
    </row>
    <row r="1164" spans="1:16" ht="18" hidden="1" customHeight="1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122"/>
      <c r="J1164" s="122"/>
      <c r="K1164" s="122"/>
      <c r="L1164" s="122"/>
      <c r="M1164" s="74">
        <v>18000000</v>
      </c>
      <c r="N1164" s="75" t="s">
        <v>654</v>
      </c>
      <c r="O1164" s="75" t="s">
        <v>203</v>
      </c>
      <c r="P1164" s="134" t="str">
        <f>IF(AND('331-CT'!$E$7=TH!H1164,OR(N1164="331",O1164="331")),"x","")</f>
        <v/>
      </c>
    </row>
    <row r="1165" spans="1:16" ht="18" hidden="1" customHeight="1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122"/>
      <c r="J1165" s="122"/>
      <c r="K1165" s="122"/>
      <c r="L1165" s="122"/>
      <c r="M1165" s="74">
        <v>1800000</v>
      </c>
      <c r="N1165" s="75" t="s">
        <v>1443</v>
      </c>
      <c r="O1165" s="75" t="s">
        <v>203</v>
      </c>
      <c r="P1165" s="134" t="str">
        <f>IF(AND('331-CT'!$E$7=TH!H1165,OR(N1165="331",O1165="331")),"x","")</f>
        <v/>
      </c>
    </row>
    <row r="1166" spans="1:16" ht="18" customHeight="1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 t="s">
        <v>1242</v>
      </c>
      <c r="H1166" s="314" t="s">
        <v>305</v>
      </c>
      <c r="I1166" s="314"/>
      <c r="J1166" s="314"/>
      <c r="K1166" s="314"/>
      <c r="L1166" s="314"/>
      <c r="M1166" s="74">
        <v>300000000</v>
      </c>
      <c r="N1166" s="75" t="s">
        <v>18</v>
      </c>
      <c r="O1166" s="75" t="s">
        <v>54</v>
      </c>
      <c r="P1166" s="134" t="str">
        <f>IF(AND('331-CT'!$E$7=TH!H1166,OR(N1166="331",O1166="331")),"x","")</f>
        <v/>
      </c>
    </row>
    <row r="1167" spans="1:16" ht="18" hidden="1" customHeight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 t="s">
        <v>1242</v>
      </c>
      <c r="H1167" s="314"/>
      <c r="I1167" s="314"/>
      <c r="J1167" s="314"/>
      <c r="K1167" s="314"/>
      <c r="L1167" s="314"/>
      <c r="M1167" s="74">
        <v>150000</v>
      </c>
      <c r="N1167" s="75" t="s">
        <v>241</v>
      </c>
      <c r="O1167" s="75" t="s">
        <v>54</v>
      </c>
      <c r="P1167" s="134" t="str">
        <f>IF(AND('331-CT'!$E$7=TH!H1167,OR(N1167="331",O1167="331")),"x","")</f>
        <v/>
      </c>
    </row>
    <row r="1168" spans="1:16" ht="18" hidden="1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 t="s">
        <v>1242</v>
      </c>
      <c r="H1168" s="314"/>
      <c r="I1168" s="314"/>
      <c r="J1168" s="314"/>
      <c r="K1168" s="314"/>
      <c r="L1168" s="314"/>
      <c r="M1168" s="74">
        <v>15000</v>
      </c>
      <c r="N1168" s="75" t="s">
        <v>19</v>
      </c>
      <c r="O1168" s="75" t="s">
        <v>54</v>
      </c>
      <c r="P1168" s="134" t="str">
        <f>IF(AND('331-CT'!$E$7=TH!H1168,OR(N1168="331",O1168="331")),"x","")</f>
        <v/>
      </c>
    </row>
    <row r="1169" spans="1:16" ht="18" hidden="1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314"/>
      <c r="J1169" s="314"/>
      <c r="K1169" s="314"/>
      <c r="L1169" s="314"/>
      <c r="M1169" s="74">
        <v>1653598</v>
      </c>
      <c r="N1169" s="75" t="s">
        <v>654</v>
      </c>
      <c r="O1169" s="75" t="s">
        <v>203</v>
      </c>
      <c r="P1169" s="134" t="str">
        <f>IF(AND('331-CT'!$E$7=TH!H1169,OR(N1169="331",O1169="331")),"x","")</f>
        <v/>
      </c>
    </row>
    <row r="1170" spans="1:16" ht="18" hidden="1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122"/>
      <c r="J1170" s="122"/>
      <c r="K1170" s="122"/>
      <c r="L1170" s="122"/>
      <c r="M1170" s="74">
        <v>165359</v>
      </c>
      <c r="N1170" s="75" t="s">
        <v>1443</v>
      </c>
      <c r="O1170" s="75" t="s">
        <v>203</v>
      </c>
      <c r="P1170" s="134" t="str">
        <f>IF(AND('331-CT'!$E$7=TH!H1170,OR(N1170="331",O1170="331")),"x","")</f>
        <v/>
      </c>
    </row>
    <row r="1171" spans="1:16" ht="18" hidden="1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122"/>
      <c r="J1171" s="122"/>
      <c r="K1171" s="122"/>
      <c r="L1171" s="122"/>
      <c r="M1171" s="74">
        <v>809090909</v>
      </c>
      <c r="N1171" s="75" t="s">
        <v>654</v>
      </c>
      <c r="O1171" s="75" t="s">
        <v>18</v>
      </c>
      <c r="P1171" s="134" t="str">
        <f>IF(AND('331-CT'!$E$7=TH!H1171,OR(N1171="331",O1171="331")),"x","")</f>
        <v/>
      </c>
    </row>
    <row r="1172" spans="1:16" ht="18" hidden="1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122"/>
      <c r="J1172" s="122"/>
      <c r="K1172" s="122"/>
      <c r="L1172" s="122"/>
      <c r="M1172" s="74">
        <v>80909091</v>
      </c>
      <c r="N1172" s="75" t="s">
        <v>1443</v>
      </c>
      <c r="O1172" s="75" t="s">
        <v>18</v>
      </c>
      <c r="P1172" s="134" t="str">
        <f>IF(AND('331-CT'!$E$7=TH!H1172,OR(N1172="331",O1172="331")),"x","")</f>
        <v/>
      </c>
    </row>
    <row r="1173" spans="1:16" ht="18" hidden="1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 t="s">
        <v>1242</v>
      </c>
      <c r="H1173" s="122" t="s">
        <v>151</v>
      </c>
      <c r="I1173" s="122"/>
      <c r="J1173" s="122"/>
      <c r="K1173" s="122"/>
      <c r="L1173" s="122"/>
      <c r="M1173" s="74">
        <v>314955000</v>
      </c>
      <c r="N1173" s="75" t="s">
        <v>18</v>
      </c>
      <c r="O1173" s="75" t="s">
        <v>54</v>
      </c>
      <c r="P1173" s="134" t="str">
        <f>IF(AND('331-CT'!$E$7=TH!H1173,OR(N1173="331",O1173="331")),"x","")</f>
        <v/>
      </c>
    </row>
    <row r="1174" spans="1:16" ht="18" hidden="1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 t="s">
        <v>1242</v>
      </c>
      <c r="H1174" s="122"/>
      <c r="I1174" s="122"/>
      <c r="J1174" s="122"/>
      <c r="K1174" s="122"/>
      <c r="L1174" s="122"/>
      <c r="M1174" s="74">
        <v>157478</v>
      </c>
      <c r="N1174" s="75" t="s">
        <v>241</v>
      </c>
      <c r="O1174" s="75" t="s">
        <v>54</v>
      </c>
      <c r="P1174" s="134" t="str">
        <f>IF(AND('331-CT'!$E$7=TH!H1174,OR(N1174="331",O1174="331")),"x","")</f>
        <v/>
      </c>
    </row>
    <row r="1175" spans="1:16" ht="18" hidden="1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 t="s">
        <v>1242</v>
      </c>
      <c r="H1175" s="122"/>
      <c r="I1175" s="122"/>
      <c r="J1175" s="122"/>
      <c r="K1175" s="122"/>
      <c r="L1175" s="122"/>
      <c r="M1175" s="74">
        <v>15748</v>
      </c>
      <c r="N1175" s="75" t="s">
        <v>19</v>
      </c>
      <c r="O1175" s="75" t="s">
        <v>54</v>
      </c>
      <c r="P1175" s="134" t="str">
        <f>IF(AND('331-CT'!$E$7=TH!H1175,OR(N1175="331",O1175="331")),"x","")</f>
        <v/>
      </c>
    </row>
    <row r="1176" spans="1:16" ht="18" hidden="1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122"/>
      <c r="J1176" s="122"/>
      <c r="K1176" s="122"/>
      <c r="L1176" s="122"/>
      <c r="M1176" s="74">
        <v>155454545</v>
      </c>
      <c r="N1176" s="75" t="s">
        <v>654</v>
      </c>
      <c r="O1176" s="75" t="s">
        <v>18</v>
      </c>
      <c r="P1176" s="134" t="str">
        <f>IF(AND('331-CT'!$E$7=TH!H1176,OR(N1176="331",O1176="331")),"x","")</f>
        <v/>
      </c>
    </row>
    <row r="1177" spans="1:16" ht="18" hidden="1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122"/>
      <c r="J1177" s="122"/>
      <c r="K1177" s="122"/>
      <c r="L1177" s="122"/>
      <c r="M1177" s="74">
        <v>15545455</v>
      </c>
      <c r="N1177" s="75" t="s">
        <v>1443</v>
      </c>
      <c r="O1177" s="75" t="s">
        <v>18</v>
      </c>
      <c r="P1177" s="134" t="str">
        <f>IF(AND('331-CT'!$E$7=TH!H1177,OR(N1177="331",O1177="331")),"x","")</f>
        <v/>
      </c>
    </row>
    <row r="1178" spans="1:16" ht="18" hidden="1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122"/>
      <c r="J1178" s="122"/>
      <c r="K1178" s="122"/>
      <c r="L1178" s="122"/>
      <c r="M1178" s="74">
        <v>6818182</v>
      </c>
      <c r="N1178" s="75" t="s">
        <v>241</v>
      </c>
      <c r="O1178" s="75" t="s">
        <v>203</v>
      </c>
      <c r="P1178" s="134" t="str">
        <f>IF(AND('331-CT'!$E$7=TH!H1178,OR(N1178="331",O1178="331")),"x","")</f>
        <v/>
      </c>
    </row>
    <row r="1179" spans="1:16" ht="18" hidden="1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122"/>
      <c r="J1179" s="122"/>
      <c r="K1179" s="122"/>
      <c r="L1179" s="122"/>
      <c r="M1179" s="74">
        <v>681818</v>
      </c>
      <c r="N1179" s="75" t="s">
        <v>19</v>
      </c>
      <c r="O1179" s="75" t="s">
        <v>203</v>
      </c>
      <c r="P1179" s="134" t="str">
        <f>IF(AND('331-CT'!$E$7=TH!H1179,OR(N1179="331",O1179="331")),"x","")</f>
        <v/>
      </c>
    </row>
    <row r="1180" spans="1:16" ht="18" hidden="1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122"/>
      <c r="J1180" s="122"/>
      <c r="K1180" s="122"/>
      <c r="L1180" s="122"/>
      <c r="M1180" s="74">
        <v>497553</v>
      </c>
      <c r="N1180" s="75" t="s">
        <v>241</v>
      </c>
      <c r="O1180" s="75" t="s">
        <v>203</v>
      </c>
      <c r="P1180" s="134" t="str">
        <f>IF(AND('331-CT'!$E$7=TH!H1180,OR(N1180="331",O1180="331")),"x","")</f>
        <v/>
      </c>
    </row>
    <row r="1181" spans="1:16" ht="18" hidden="1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122"/>
      <c r="J1181" s="122"/>
      <c r="K1181" s="122"/>
      <c r="L1181" s="122"/>
      <c r="M1181" s="74">
        <v>49755</v>
      </c>
      <c r="N1181" s="75" t="s">
        <v>19</v>
      </c>
      <c r="O1181" s="75" t="s">
        <v>203</v>
      </c>
      <c r="P1181" s="134" t="str">
        <f>IF(AND('331-CT'!$E$7=TH!H1181,OR(N1181="331",O1181="331")),"x","")</f>
        <v/>
      </c>
    </row>
    <row r="1182" spans="1:16" ht="18" hidden="1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1230</v>
      </c>
      <c r="G1182" s="73" t="s">
        <v>1229</v>
      </c>
      <c r="H1182" s="122" t="s">
        <v>648</v>
      </c>
      <c r="I1182" s="122"/>
      <c r="J1182" s="122"/>
      <c r="K1182" s="122"/>
      <c r="L1182" s="122"/>
      <c r="M1182" s="74">
        <v>28280100</v>
      </c>
      <c r="N1182" s="75" t="s">
        <v>241</v>
      </c>
      <c r="O1182" s="75" t="s">
        <v>18</v>
      </c>
      <c r="P1182" s="134" t="str">
        <f>IF(AND('331-CT'!$E$7=TH!H1182,OR(N1182="331",O1182="331")),"x","")</f>
        <v/>
      </c>
    </row>
    <row r="1183" spans="1:16" ht="18" hidden="1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1231</v>
      </c>
      <c r="G1183" s="73" t="s">
        <v>1229</v>
      </c>
      <c r="H1183" s="122" t="s">
        <v>648</v>
      </c>
      <c r="I1183" s="122"/>
      <c r="J1183" s="122"/>
      <c r="K1183" s="122"/>
      <c r="L1183" s="122"/>
      <c r="M1183" s="74">
        <v>2828010</v>
      </c>
      <c r="N1183" s="75" t="s">
        <v>19</v>
      </c>
      <c r="O1183" s="75" t="s">
        <v>18</v>
      </c>
      <c r="P1183" s="134" t="str">
        <f>IF(AND('331-CT'!$E$7=TH!H1183,OR(N1183="331",O1183="331")),"x","")</f>
        <v/>
      </c>
    </row>
    <row r="1184" spans="1:16" ht="18" hidden="1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1233</v>
      </c>
      <c r="G1184" s="73" t="s">
        <v>1232</v>
      </c>
      <c r="H1184" s="122" t="s">
        <v>648</v>
      </c>
      <c r="I1184" s="122"/>
      <c r="J1184" s="122"/>
      <c r="K1184" s="122"/>
      <c r="L1184" s="122"/>
      <c r="M1184" s="74">
        <v>37562900</v>
      </c>
      <c r="N1184" s="75" t="s">
        <v>241</v>
      </c>
      <c r="O1184" s="75" t="s">
        <v>18</v>
      </c>
      <c r="P1184" s="134" t="str">
        <f>IF(AND('331-CT'!$E$7=TH!H1184,OR(N1184="331",O1184="331")),"x","")</f>
        <v/>
      </c>
    </row>
    <row r="1185" spans="1:16" ht="18" hidden="1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1234</v>
      </c>
      <c r="G1185" s="73" t="s">
        <v>1232</v>
      </c>
      <c r="H1185" s="122" t="s">
        <v>648</v>
      </c>
      <c r="I1185" s="122"/>
      <c r="J1185" s="122"/>
      <c r="K1185" s="122"/>
      <c r="L1185" s="122"/>
      <c r="M1185" s="74">
        <v>3756290</v>
      </c>
      <c r="N1185" s="75" t="s">
        <v>19</v>
      </c>
      <c r="O1185" s="75" t="s">
        <v>18</v>
      </c>
      <c r="P1185" s="134" t="str">
        <f>IF(AND('331-CT'!$E$7=TH!H1185,OR(N1185="331",O1185="331")),"x","")</f>
        <v/>
      </c>
    </row>
    <row r="1186" spans="1:16" ht="18" hidden="1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122"/>
      <c r="J1186" s="122"/>
      <c r="K1186" s="122"/>
      <c r="L1186" s="122"/>
      <c r="M1186" s="74">
        <v>358272727</v>
      </c>
      <c r="N1186" s="75" t="s">
        <v>654</v>
      </c>
      <c r="O1186" s="75" t="s">
        <v>18</v>
      </c>
      <c r="P1186" s="134" t="str">
        <f>IF(AND('331-CT'!$E$7=TH!H1186,OR(N1186="331",O1186="331")),"x","")</f>
        <v/>
      </c>
    </row>
    <row r="1187" spans="1:16" ht="18" hidden="1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122"/>
      <c r="J1187" s="122"/>
      <c r="K1187" s="122"/>
      <c r="L1187" s="122"/>
      <c r="M1187" s="74">
        <v>35827273</v>
      </c>
      <c r="N1187" s="75" t="s">
        <v>1443</v>
      </c>
      <c r="O1187" s="75" t="s">
        <v>18</v>
      </c>
      <c r="P1187" s="134" t="str">
        <f>IF(AND('331-CT'!$E$7=TH!H1187,OR(N1187="331",O1187="331")),"x","")</f>
        <v/>
      </c>
    </row>
    <row r="1188" spans="1:16" ht="18" hidden="1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 t="s">
        <v>1242</v>
      </c>
      <c r="H1188" s="122" t="s">
        <v>150</v>
      </c>
      <c r="I1188" s="122"/>
      <c r="J1188" s="122"/>
      <c r="K1188" s="122"/>
      <c r="L1188" s="122"/>
      <c r="M1188" s="74">
        <v>500000000</v>
      </c>
      <c r="N1188" s="75" t="s">
        <v>18</v>
      </c>
      <c r="O1188" s="75" t="s">
        <v>54</v>
      </c>
      <c r="P1188" s="134" t="str">
        <f>IF(AND('331-CT'!$E$7=TH!H1188,OR(N1188="331",O1188="331")),"x","")</f>
        <v/>
      </c>
    </row>
    <row r="1189" spans="1:16" ht="18" hidden="1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 t="s">
        <v>1242</v>
      </c>
      <c r="H1189" s="122" t="s">
        <v>152</v>
      </c>
      <c r="I1189" s="122"/>
      <c r="J1189" s="122"/>
      <c r="K1189" s="122"/>
      <c r="L1189" s="122"/>
      <c r="M1189" s="74">
        <v>200000000</v>
      </c>
      <c r="N1189" s="75" t="s">
        <v>18</v>
      </c>
      <c r="O1189" s="75" t="s">
        <v>54</v>
      </c>
      <c r="P1189" s="134" t="str">
        <f>IF(AND('331-CT'!$E$7=TH!H1189,OR(N1189="331",O1189="331")),"x","")</f>
        <v/>
      </c>
    </row>
    <row r="1190" spans="1:16" ht="18" hidden="1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 t="s">
        <v>1242</v>
      </c>
      <c r="H1190" s="122"/>
      <c r="I1190" s="122"/>
      <c r="J1190" s="122"/>
      <c r="K1190" s="122"/>
      <c r="L1190" s="122"/>
      <c r="M1190" s="74">
        <v>60000</v>
      </c>
      <c r="N1190" s="75" t="s">
        <v>241</v>
      </c>
      <c r="O1190" s="75" t="s">
        <v>54</v>
      </c>
      <c r="P1190" s="134" t="str">
        <f>IF(AND('331-CT'!$E$7=TH!H1190,OR(N1190="331",O1190="331")),"x","")</f>
        <v/>
      </c>
    </row>
    <row r="1191" spans="1:16" ht="18" hidden="1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 t="s">
        <v>1242</v>
      </c>
      <c r="H1191" s="122"/>
      <c r="I1191" s="122"/>
      <c r="J1191" s="122"/>
      <c r="K1191" s="122"/>
      <c r="L1191" s="122"/>
      <c r="M1191" s="74">
        <v>6000</v>
      </c>
      <c r="N1191" s="75" t="s">
        <v>19</v>
      </c>
      <c r="O1191" s="75" t="s">
        <v>54</v>
      </c>
      <c r="P1191" s="134" t="str">
        <f>IF(AND('331-CT'!$E$7=TH!H1191,OR(N1191="331",O1191="331")),"x","")</f>
        <v/>
      </c>
    </row>
    <row r="1192" spans="1:16" ht="18" hidden="1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122"/>
      <c r="J1192" s="122"/>
      <c r="K1192" s="122"/>
      <c r="L1192" s="122"/>
      <c r="M1192" s="74">
        <v>12150000</v>
      </c>
      <c r="N1192" s="75" t="s">
        <v>654</v>
      </c>
      <c r="O1192" s="75" t="s">
        <v>203</v>
      </c>
      <c r="P1192" s="134" t="str">
        <f>IF(AND('331-CT'!$E$7=TH!H1192,OR(N1192="331",O1192="331")),"x","")</f>
        <v/>
      </c>
    </row>
    <row r="1193" spans="1:16" ht="18" hidden="1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122"/>
      <c r="J1193" s="122"/>
      <c r="K1193" s="122"/>
      <c r="L1193" s="122"/>
      <c r="M1193" s="74">
        <v>1215000</v>
      </c>
      <c r="N1193" s="75" t="s">
        <v>1443</v>
      </c>
      <c r="O1193" s="75" t="s">
        <v>203</v>
      </c>
      <c r="P1193" s="134" t="str">
        <f>IF(AND('331-CT'!$E$7=TH!H1193,OR(N1193="331",O1193="331")),"x","")</f>
        <v/>
      </c>
    </row>
    <row r="1194" spans="1:16" ht="18" hidden="1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122"/>
      <c r="J1194" s="122"/>
      <c r="K1194" s="122"/>
      <c r="L1194" s="122"/>
      <c r="M1194" s="74">
        <v>800000</v>
      </c>
      <c r="N1194" s="75" t="s">
        <v>654</v>
      </c>
      <c r="O1194" s="75" t="s">
        <v>203</v>
      </c>
      <c r="P1194" s="134" t="str">
        <f>IF(AND('331-CT'!$E$7=TH!H1194,OR(N1194="331",O1194="331")),"x","")</f>
        <v/>
      </c>
    </row>
    <row r="1195" spans="1:16" ht="18" hidden="1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122"/>
      <c r="J1195" s="122"/>
      <c r="K1195" s="122"/>
      <c r="L1195" s="122"/>
      <c r="M1195" s="74">
        <v>389090909</v>
      </c>
      <c r="N1195" s="75" t="s">
        <v>654</v>
      </c>
      <c r="O1195" s="75" t="s">
        <v>18</v>
      </c>
      <c r="P1195" s="134" t="str">
        <f>IF(AND('331-CT'!$E$7=TH!H1195,OR(N1195="331",O1195="331")),"x","")</f>
        <v/>
      </c>
    </row>
    <row r="1196" spans="1:16" ht="18" hidden="1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122"/>
      <c r="J1196" s="122"/>
      <c r="K1196" s="122"/>
      <c r="L1196" s="122"/>
      <c r="M1196" s="74">
        <v>38909091</v>
      </c>
      <c r="N1196" s="75" t="s">
        <v>1443</v>
      </c>
      <c r="O1196" s="75" t="s">
        <v>18</v>
      </c>
      <c r="P1196" s="134" t="str">
        <f>IF(AND('331-CT'!$E$7=TH!H1196,OR(N1196="331",O1196="331")),"x","")</f>
        <v/>
      </c>
    </row>
    <row r="1197" spans="1:16" ht="18" hidden="1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 t="s">
        <v>1242</v>
      </c>
      <c r="H1197" s="122"/>
      <c r="I1197" s="122"/>
      <c r="J1197" s="122"/>
      <c r="K1197" s="122"/>
      <c r="L1197" s="122"/>
      <c r="M1197" s="74">
        <v>1500000</v>
      </c>
      <c r="N1197" s="75" t="s">
        <v>219</v>
      </c>
      <c r="O1197" s="75" t="s">
        <v>54</v>
      </c>
      <c r="P1197" s="134" t="str">
        <f>IF(AND('331-CT'!$E$7=TH!H1197,OR(N1197="331",O1197="331")),"x","")</f>
        <v/>
      </c>
    </row>
    <row r="1198" spans="1:16" ht="18" hidden="1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122"/>
      <c r="J1198" s="122"/>
      <c r="K1198" s="122"/>
      <c r="L1198" s="122"/>
      <c r="M1198" s="74">
        <v>1500000</v>
      </c>
      <c r="N1198" s="75" t="s">
        <v>241</v>
      </c>
      <c r="O1198" s="75" t="s">
        <v>219</v>
      </c>
      <c r="P1198" s="134" t="str">
        <f>IF(AND('331-CT'!$E$7=TH!H1198,OR(N1198="331",O1198="331")),"x","")</f>
        <v/>
      </c>
    </row>
    <row r="1199" spans="1:16" ht="18" hidden="1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122"/>
      <c r="J1199" s="122"/>
      <c r="K1199" s="122"/>
      <c r="L1199" s="122"/>
      <c r="M1199" s="74">
        <v>2010000</v>
      </c>
      <c r="N1199" s="75" t="s">
        <v>654</v>
      </c>
      <c r="O1199" s="75" t="s">
        <v>203</v>
      </c>
      <c r="P1199" s="134" t="str">
        <f>IF(AND('331-CT'!$E$7=TH!H1199,OR(N1199="331",O1199="331")),"x","")</f>
        <v/>
      </c>
    </row>
    <row r="1200" spans="1:16" ht="18" hidden="1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 t="s">
        <v>1242</v>
      </c>
      <c r="H1200" s="314" t="s">
        <v>271</v>
      </c>
      <c r="I1200" s="314"/>
      <c r="J1200" s="314"/>
      <c r="K1200" s="314"/>
      <c r="L1200" s="314"/>
      <c r="M1200" s="74">
        <v>350000000</v>
      </c>
      <c r="N1200" s="315" t="s">
        <v>203</v>
      </c>
      <c r="O1200" s="315" t="s">
        <v>54</v>
      </c>
      <c r="P1200" s="134" t="str">
        <f>IF(AND('331-CT'!$E$7=TH!H1200,OR(N1200="331",O1200="331")),"x","")</f>
        <v/>
      </c>
    </row>
    <row r="1201" spans="1:16" ht="18" hidden="1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314"/>
      <c r="J1201" s="314"/>
      <c r="K1201" s="314"/>
      <c r="L1201" s="314"/>
      <c r="M1201" s="74">
        <v>12750000</v>
      </c>
      <c r="N1201" s="315" t="s">
        <v>654</v>
      </c>
      <c r="O1201" s="315" t="s">
        <v>203</v>
      </c>
      <c r="P1201" s="134" t="str">
        <f>IF(AND('331-CT'!$E$7=TH!H1201,OR(N1201="331",O1201="331")),"x","")</f>
        <v/>
      </c>
    </row>
    <row r="1202" spans="1:16" ht="18" hidden="1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122"/>
      <c r="J1202" s="122"/>
      <c r="K1202" s="122"/>
      <c r="L1202" s="122"/>
      <c r="M1202" s="74">
        <v>1275000</v>
      </c>
      <c r="N1202" s="75" t="s">
        <v>1443</v>
      </c>
      <c r="O1202" s="75" t="s">
        <v>203</v>
      </c>
      <c r="P1202" s="134" t="str">
        <f>IF(AND('331-CT'!$E$7=TH!H1202,OR(N1202="331",O1202="331")),"x","")</f>
        <v/>
      </c>
    </row>
    <row r="1203" spans="1:16" ht="18" hidden="1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122"/>
      <c r="J1203" s="122"/>
      <c r="K1203" s="122"/>
      <c r="L1203" s="122"/>
      <c r="M1203" s="74">
        <v>16600000</v>
      </c>
      <c r="N1203" s="75" t="s">
        <v>654</v>
      </c>
      <c r="O1203" s="75" t="s">
        <v>203</v>
      </c>
      <c r="P1203" s="134" t="str">
        <f>IF(AND('331-CT'!$E$7=TH!H1203,OR(N1203="331",O1203="331")),"x","")</f>
        <v/>
      </c>
    </row>
    <row r="1204" spans="1:16" ht="18" hidden="1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122"/>
      <c r="J1204" s="122"/>
      <c r="K1204" s="122"/>
      <c r="L1204" s="122"/>
      <c r="M1204" s="74">
        <v>1660000</v>
      </c>
      <c r="N1204" s="75" t="s">
        <v>1443</v>
      </c>
      <c r="O1204" s="75" t="s">
        <v>203</v>
      </c>
      <c r="P1204" s="134" t="str">
        <f>IF(AND('331-CT'!$E$7=TH!H1204,OR(N1204="331",O1204="331")),"x","")</f>
        <v/>
      </c>
    </row>
    <row r="1205" spans="1:16" ht="18" hidden="1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122"/>
      <c r="J1205" s="122"/>
      <c r="K1205" s="122"/>
      <c r="L1205" s="122"/>
      <c r="M1205" s="74">
        <v>16200000</v>
      </c>
      <c r="N1205" s="75" t="s">
        <v>654</v>
      </c>
      <c r="O1205" s="75" t="s">
        <v>203</v>
      </c>
      <c r="P1205" s="134" t="str">
        <f>IF(AND('331-CT'!$E$7=TH!H1205,OR(N1205="331",O1205="331")),"x","")</f>
        <v/>
      </c>
    </row>
    <row r="1206" spans="1:16" ht="18" hidden="1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122"/>
      <c r="J1206" s="122"/>
      <c r="K1206" s="122"/>
      <c r="L1206" s="122"/>
      <c r="M1206" s="74">
        <v>1620000</v>
      </c>
      <c r="N1206" s="75" t="s">
        <v>1443</v>
      </c>
      <c r="O1206" s="75" t="s">
        <v>203</v>
      </c>
      <c r="P1206" s="134" t="str">
        <f>IF(AND('331-CT'!$E$7=TH!H1206,OR(N1206="331",O1206="331")),"x","")</f>
        <v/>
      </c>
    </row>
    <row r="1207" spans="1:16" ht="18" hidden="1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122"/>
      <c r="J1207" s="122"/>
      <c r="K1207" s="122"/>
      <c r="L1207" s="122"/>
      <c r="M1207" s="74">
        <v>1357000</v>
      </c>
      <c r="N1207" s="75" t="s">
        <v>654</v>
      </c>
      <c r="O1207" s="75" t="s">
        <v>203</v>
      </c>
      <c r="P1207" s="134" t="str">
        <f>IF(AND('331-CT'!$E$7=TH!H1207,OR(N1207="331",O1207="331")),"x","")</f>
        <v/>
      </c>
    </row>
    <row r="1208" spans="1:16" ht="18" hidden="1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122"/>
      <c r="J1208" s="122"/>
      <c r="K1208" s="122"/>
      <c r="L1208" s="122"/>
      <c r="M1208" s="74">
        <v>2589000</v>
      </c>
      <c r="N1208" s="75" t="s">
        <v>654</v>
      </c>
      <c r="O1208" s="75" t="s">
        <v>203</v>
      </c>
      <c r="P1208" s="134" t="str">
        <f>IF(AND('331-CT'!$E$7=TH!H1208,OR(N1208="331",O1208="331")),"x","")</f>
        <v/>
      </c>
    </row>
    <row r="1209" spans="1:16" ht="18" hidden="1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122"/>
      <c r="J1209" s="122"/>
      <c r="K1209" s="122"/>
      <c r="L1209" s="122"/>
      <c r="M1209" s="74">
        <v>13804000</v>
      </c>
      <c r="N1209" s="75" t="s">
        <v>654</v>
      </c>
      <c r="O1209" s="75" t="s">
        <v>203</v>
      </c>
      <c r="P1209" s="134" t="str">
        <f>IF(AND('331-CT'!$E$7=TH!H1209,OR(N1209="331",O1209="331")),"x","")</f>
        <v/>
      </c>
    </row>
    <row r="1210" spans="1:16" ht="18" hidden="1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122"/>
      <c r="J1210" s="122"/>
      <c r="K1210" s="122"/>
      <c r="L1210" s="122"/>
      <c r="M1210" s="74">
        <v>1380400</v>
      </c>
      <c r="N1210" s="75" t="s">
        <v>1443</v>
      </c>
      <c r="O1210" s="75" t="s">
        <v>203</v>
      </c>
      <c r="P1210" s="134" t="str">
        <f>IF(AND('331-CT'!$E$7=TH!H1210,OR(N1210="331",O1210="331")),"x","")</f>
        <v/>
      </c>
    </row>
    <row r="1211" spans="1:16" ht="18" hidden="1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 t="s">
        <v>1242</v>
      </c>
      <c r="H1211" s="122" t="s">
        <v>313</v>
      </c>
      <c r="I1211" s="122"/>
      <c r="J1211" s="122"/>
      <c r="K1211" s="122"/>
      <c r="L1211" s="122"/>
      <c r="M1211" s="74">
        <v>8187032</v>
      </c>
      <c r="N1211" s="75" t="s">
        <v>239</v>
      </c>
      <c r="O1211" s="75" t="s">
        <v>54</v>
      </c>
      <c r="P1211" s="134" t="str">
        <f>IF(AND('331-CT'!$E$7=TH!H1211,OR(N1211="331",O1211="331")),"x","")</f>
        <v/>
      </c>
    </row>
    <row r="1212" spans="1:16" ht="18" hidden="1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 t="s">
        <v>1242</v>
      </c>
      <c r="H1212" s="122" t="s">
        <v>314</v>
      </c>
      <c r="I1212" s="122"/>
      <c r="J1212" s="122"/>
      <c r="K1212" s="122"/>
      <c r="L1212" s="122"/>
      <c r="M1212" s="74">
        <v>16374064</v>
      </c>
      <c r="N1212" s="75" t="s">
        <v>239</v>
      </c>
      <c r="O1212" s="75" t="s">
        <v>54</v>
      </c>
      <c r="P1212" s="134" t="str">
        <f>IF(AND('331-CT'!$E$7=TH!H1212,OR(N1212="331",O1212="331")),"x","")</f>
        <v/>
      </c>
    </row>
    <row r="1213" spans="1:16" ht="18" hidden="1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1203</v>
      </c>
      <c r="H1213" s="122" t="s">
        <v>828</v>
      </c>
      <c r="I1213" s="122"/>
      <c r="J1213" s="122"/>
      <c r="K1213" s="122"/>
      <c r="L1213" s="122"/>
      <c r="M1213" s="74">
        <v>2303000</v>
      </c>
      <c r="N1213" s="75" t="s">
        <v>654</v>
      </c>
      <c r="O1213" s="75" t="s">
        <v>203</v>
      </c>
      <c r="P1213" s="134" t="str">
        <f>IF(AND('331-CT'!$E$7=TH!H1213,OR(N1213="331",O1213="331")),"x","")</f>
        <v/>
      </c>
    </row>
    <row r="1214" spans="1:16" ht="18" hidden="1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1204</v>
      </c>
      <c r="G1214" s="265" t="s">
        <v>1205</v>
      </c>
      <c r="H1214" s="122" t="s">
        <v>188</v>
      </c>
      <c r="I1214" s="122"/>
      <c r="J1214" s="122"/>
      <c r="K1214" s="122"/>
      <c r="L1214" s="122"/>
      <c r="M1214" s="74">
        <v>7333400</v>
      </c>
      <c r="N1214" s="75" t="s">
        <v>241</v>
      </c>
      <c r="O1214" s="75" t="s">
        <v>203</v>
      </c>
      <c r="P1214" s="134" t="str">
        <f>IF(AND('331-CT'!$E$7=TH!H1214,OR(N1214="331",O1214="331")),"x","")</f>
        <v/>
      </c>
    </row>
    <row r="1215" spans="1:16" ht="18" hidden="1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1206</v>
      </c>
      <c r="G1215" s="265" t="s">
        <v>1205</v>
      </c>
      <c r="H1215" s="122" t="s">
        <v>188</v>
      </c>
      <c r="I1215" s="122"/>
      <c r="J1215" s="122"/>
      <c r="K1215" s="122"/>
      <c r="L1215" s="122"/>
      <c r="M1215" s="74">
        <v>366670</v>
      </c>
      <c r="N1215" s="75" t="s">
        <v>19</v>
      </c>
      <c r="O1215" s="75" t="s">
        <v>203</v>
      </c>
      <c r="P1215" s="134" t="str">
        <f>IF(AND('331-CT'!$E$7=TH!H1215,OR(N1215="331",O1215="331")),"x","")</f>
        <v/>
      </c>
    </row>
    <row r="1216" spans="1:16" ht="18" hidden="1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 t="s">
        <v>1242</v>
      </c>
      <c r="H1216" s="122" t="s">
        <v>271</v>
      </c>
      <c r="I1216" s="122"/>
      <c r="J1216" s="122"/>
      <c r="K1216" s="122"/>
      <c r="L1216" s="122"/>
      <c r="M1216" s="74">
        <v>170000000</v>
      </c>
      <c r="N1216" s="75" t="s">
        <v>54</v>
      </c>
      <c r="O1216" s="75" t="s">
        <v>203</v>
      </c>
      <c r="P1216" s="134" t="str">
        <f>IF(AND('331-CT'!$E$7=TH!H1216,OR(N1216="331",O1216="331")),"x","")</f>
        <v/>
      </c>
    </row>
    <row r="1217" spans="1:16" ht="18" hidden="1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 t="s">
        <v>1242</v>
      </c>
      <c r="H1217" s="122" t="s">
        <v>316</v>
      </c>
      <c r="I1217" s="122"/>
      <c r="J1217" s="122"/>
      <c r="K1217" s="122"/>
      <c r="L1217" s="122"/>
      <c r="M1217" s="74">
        <v>13104432</v>
      </c>
      <c r="N1217" s="75" t="s">
        <v>239</v>
      </c>
      <c r="O1217" s="75" t="s">
        <v>54</v>
      </c>
      <c r="P1217" s="134" t="str">
        <f>IF(AND('331-CT'!$E$7=TH!H1217,OR(N1217="331",O1217="331")),"x","")</f>
        <v/>
      </c>
    </row>
    <row r="1218" spans="1:16" ht="18" hidden="1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 t="s">
        <v>1242</v>
      </c>
      <c r="H1218" s="122" t="s">
        <v>315</v>
      </c>
      <c r="I1218" s="122"/>
      <c r="J1218" s="122"/>
      <c r="K1218" s="122"/>
      <c r="L1218" s="122"/>
      <c r="M1218" s="74">
        <v>12285405</v>
      </c>
      <c r="N1218" s="75" t="s">
        <v>239</v>
      </c>
      <c r="O1218" s="75" t="s">
        <v>54</v>
      </c>
      <c r="P1218" s="134" t="str">
        <f>IF(AND('331-CT'!$E$7=TH!H1218,OR(N1218="331",O1218="331")),"x","")</f>
        <v/>
      </c>
    </row>
    <row r="1219" spans="1:16" ht="18" hidden="1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 t="s">
        <v>1242</v>
      </c>
      <c r="H1219" s="122" t="s">
        <v>317</v>
      </c>
      <c r="I1219" s="122"/>
      <c r="J1219" s="122"/>
      <c r="K1219" s="122"/>
      <c r="L1219" s="122"/>
      <c r="M1219" s="74">
        <v>8190270</v>
      </c>
      <c r="N1219" s="75" t="s">
        <v>239</v>
      </c>
      <c r="O1219" s="75" t="s">
        <v>54</v>
      </c>
      <c r="P1219" s="134" t="str">
        <f>IF(AND('331-CT'!$E$7=TH!H1219,OR(N1219="331",O1219="331")),"x","")</f>
        <v/>
      </c>
    </row>
    <row r="1220" spans="1:16" ht="18" hidden="1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 t="s">
        <v>1242</v>
      </c>
      <c r="H1220" s="122" t="s">
        <v>318</v>
      </c>
      <c r="I1220" s="122"/>
      <c r="J1220" s="122"/>
      <c r="K1220" s="122"/>
      <c r="L1220" s="122"/>
      <c r="M1220" s="74">
        <v>12285405</v>
      </c>
      <c r="N1220" s="75" t="s">
        <v>239</v>
      </c>
      <c r="O1220" s="75" t="s">
        <v>54</v>
      </c>
      <c r="P1220" s="134" t="str">
        <f>IF(AND('331-CT'!$E$7=TH!H1220,OR(N1220="331",O1220="331")),"x","")</f>
        <v/>
      </c>
    </row>
    <row r="1221" spans="1:16" ht="18" hidden="1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 t="s">
        <v>1242</v>
      </c>
      <c r="H1221" s="122" t="s">
        <v>319</v>
      </c>
      <c r="I1221" s="122"/>
      <c r="J1221" s="122"/>
      <c r="K1221" s="122"/>
      <c r="L1221" s="122"/>
      <c r="M1221" s="74">
        <v>16380540</v>
      </c>
      <c r="N1221" s="75" t="s">
        <v>239</v>
      </c>
      <c r="O1221" s="75" t="s">
        <v>54</v>
      </c>
      <c r="P1221" s="134" t="str">
        <f>IF(AND('331-CT'!$E$7=TH!H1221,OR(N1221="331",O1221="331")),"x","")</f>
        <v/>
      </c>
    </row>
    <row r="1222" spans="1:16" ht="18" hidden="1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 t="s">
        <v>1242</v>
      </c>
      <c r="H1222" s="122" t="s">
        <v>320</v>
      </c>
      <c r="I1222" s="122"/>
      <c r="J1222" s="122"/>
      <c r="K1222" s="122"/>
      <c r="L1222" s="122"/>
      <c r="M1222" s="74">
        <v>11466378</v>
      </c>
      <c r="N1222" s="75" t="s">
        <v>239</v>
      </c>
      <c r="O1222" s="75" t="s">
        <v>54</v>
      </c>
      <c r="P1222" s="134" t="str">
        <f>IF(AND('331-CT'!$E$7=TH!H1222,OR(N1222="331",O1222="331")),"x","")</f>
        <v/>
      </c>
    </row>
    <row r="1223" spans="1:16" ht="18" hidden="1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 t="s">
        <v>1242</v>
      </c>
      <c r="H1223" s="122" t="s">
        <v>321</v>
      </c>
      <c r="I1223" s="122"/>
      <c r="J1223" s="122"/>
      <c r="K1223" s="122"/>
      <c r="L1223" s="122"/>
      <c r="M1223" s="74">
        <v>12285405</v>
      </c>
      <c r="N1223" s="75" t="s">
        <v>239</v>
      </c>
      <c r="O1223" s="75" t="s">
        <v>54</v>
      </c>
      <c r="P1223" s="134" t="str">
        <f>IF(AND('331-CT'!$E$7=TH!H1223,OR(N1223="331",O1223="331")),"x","")</f>
        <v/>
      </c>
    </row>
    <row r="1224" spans="1:16" ht="18" hidden="1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 t="s">
        <v>1242</v>
      </c>
      <c r="H1224" s="122" t="s">
        <v>325</v>
      </c>
      <c r="I1224" s="122"/>
      <c r="J1224" s="122"/>
      <c r="K1224" s="122"/>
      <c r="L1224" s="122"/>
      <c r="M1224" s="74">
        <v>12285405</v>
      </c>
      <c r="N1224" s="75" t="s">
        <v>239</v>
      </c>
      <c r="O1224" s="75" t="s">
        <v>54</v>
      </c>
      <c r="P1224" s="134" t="str">
        <f>IF(AND('331-CT'!$E$7=TH!H1224,OR(N1224="331",O1224="331")),"x","")</f>
        <v/>
      </c>
    </row>
    <row r="1225" spans="1:16" ht="18" hidden="1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 t="s">
        <v>1242</v>
      </c>
      <c r="H1225" s="122" t="s">
        <v>416</v>
      </c>
      <c r="I1225" s="122"/>
      <c r="J1225" s="122"/>
      <c r="K1225" s="122"/>
      <c r="L1225" s="122"/>
      <c r="M1225" s="74">
        <v>12285405</v>
      </c>
      <c r="N1225" s="75" t="s">
        <v>239</v>
      </c>
      <c r="O1225" s="75" t="s">
        <v>54</v>
      </c>
      <c r="P1225" s="134" t="str">
        <f>IF(AND('331-CT'!$E$7=TH!H1225,OR(N1225="331",O1225="331")),"x","")</f>
        <v/>
      </c>
    </row>
    <row r="1226" spans="1:16" ht="18" hidden="1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 t="s">
        <v>1242</v>
      </c>
      <c r="H1226" s="122" t="s">
        <v>421</v>
      </c>
      <c r="I1226" s="122"/>
      <c r="J1226" s="122"/>
      <c r="K1226" s="122"/>
      <c r="L1226" s="122"/>
      <c r="M1226" s="74">
        <v>8190270</v>
      </c>
      <c r="N1226" s="75" t="s">
        <v>239</v>
      </c>
      <c r="O1226" s="75" t="s">
        <v>54</v>
      </c>
      <c r="P1226" s="134" t="str">
        <f>IF(AND('331-CT'!$E$7=TH!H1226,OR(N1226="331",O1226="331")),"x","")</f>
        <v/>
      </c>
    </row>
    <row r="1227" spans="1:16" ht="18" hidden="1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 t="s">
        <v>1242</v>
      </c>
      <c r="H1227" s="122" t="s">
        <v>455</v>
      </c>
      <c r="I1227" s="122"/>
      <c r="J1227" s="122"/>
      <c r="K1227" s="122"/>
      <c r="L1227" s="122"/>
      <c r="M1227" s="74">
        <v>8190270</v>
      </c>
      <c r="N1227" s="75" t="s">
        <v>239</v>
      </c>
      <c r="O1227" s="75" t="s">
        <v>54</v>
      </c>
      <c r="P1227" s="134" t="str">
        <f>IF(AND('331-CT'!$E$7=TH!H1227,OR(N1227="331",O1227="331")),"x","")</f>
        <v/>
      </c>
    </row>
    <row r="1228" spans="1:16" ht="18" hidden="1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 t="s">
        <v>1242</v>
      </c>
      <c r="H1228" s="122" t="s">
        <v>323</v>
      </c>
      <c r="I1228" s="122"/>
      <c r="J1228" s="122"/>
      <c r="K1228" s="122"/>
      <c r="L1228" s="122"/>
      <c r="M1228" s="74">
        <v>12285405</v>
      </c>
      <c r="N1228" s="75" t="s">
        <v>239</v>
      </c>
      <c r="O1228" s="75" t="s">
        <v>54</v>
      </c>
      <c r="P1228" s="134" t="str">
        <f>IF(AND('331-CT'!$E$7=TH!H1228,OR(N1228="331",O1228="331")),"x","")</f>
        <v/>
      </c>
    </row>
    <row r="1229" spans="1:16" ht="18" hidden="1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1207</v>
      </c>
      <c r="G1229" s="265" t="s">
        <v>1208</v>
      </c>
      <c r="H1229" s="122" t="s">
        <v>856</v>
      </c>
      <c r="I1229" s="122"/>
      <c r="J1229" s="122"/>
      <c r="K1229" s="122"/>
      <c r="L1229" s="122"/>
      <c r="M1229" s="74">
        <v>3195000</v>
      </c>
      <c r="N1229" s="75" t="s">
        <v>654</v>
      </c>
      <c r="O1229" s="75" t="s">
        <v>203</v>
      </c>
      <c r="P1229" s="134" t="str">
        <f>IF(AND('331-CT'!$E$7=TH!H1229,OR(N1229="331",O1229="331")),"x","")</f>
        <v/>
      </c>
    </row>
    <row r="1230" spans="1:16" ht="18" hidden="1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 t="s">
        <v>1242</v>
      </c>
      <c r="H1230" s="122"/>
      <c r="I1230" s="122"/>
      <c r="J1230" s="122"/>
      <c r="K1230" s="122"/>
      <c r="L1230" s="122"/>
      <c r="M1230" s="74">
        <v>163571</v>
      </c>
      <c r="N1230" s="75" t="s">
        <v>54</v>
      </c>
      <c r="O1230" s="75" t="s">
        <v>99</v>
      </c>
      <c r="P1230" s="134" t="str">
        <f>IF(AND('331-CT'!$E$7=TH!H1230,OR(N1230="331",O1230="331")),"x","")</f>
        <v/>
      </c>
    </row>
    <row r="1231" spans="1:16" ht="18" hidden="1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1209</v>
      </c>
      <c r="G1231" s="265" t="s">
        <v>1210</v>
      </c>
      <c r="H1231" s="122" t="s">
        <v>1211</v>
      </c>
      <c r="I1231" s="122"/>
      <c r="J1231" s="122"/>
      <c r="K1231" s="122"/>
      <c r="L1231" s="122"/>
      <c r="M1231" s="74">
        <v>12000000</v>
      </c>
      <c r="N1231" s="75" t="s">
        <v>654</v>
      </c>
      <c r="O1231" s="75" t="s">
        <v>203</v>
      </c>
      <c r="P1231" s="134" t="str">
        <f>IF(AND('331-CT'!$E$7=TH!H1231,OR(N1231="331",O1231="331")),"x","")</f>
        <v/>
      </c>
    </row>
    <row r="1232" spans="1:16" ht="18" hidden="1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1212</v>
      </c>
      <c r="H1232" s="122" t="s">
        <v>1213</v>
      </c>
      <c r="I1232" s="122"/>
      <c r="J1232" s="122"/>
      <c r="K1232" s="122"/>
      <c r="L1232" s="122"/>
      <c r="M1232" s="74">
        <v>2080000</v>
      </c>
      <c r="N1232" s="75" t="s">
        <v>654</v>
      </c>
      <c r="O1232" s="75" t="s">
        <v>203</v>
      </c>
      <c r="P1232" s="134" t="str">
        <f>IF(AND('331-CT'!$E$7=TH!H1232,OR(N1232="331",O1232="331")),"x","")</f>
        <v/>
      </c>
    </row>
    <row r="1233" spans="1:16" ht="18" hidden="1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1214</v>
      </c>
      <c r="G1233" s="265"/>
      <c r="H1233" s="122" t="s">
        <v>514</v>
      </c>
      <c r="I1233" s="122"/>
      <c r="J1233" s="122"/>
      <c r="K1233" s="122"/>
      <c r="L1233" s="122"/>
      <c r="M1233" s="74">
        <v>449822</v>
      </c>
      <c r="N1233" s="75" t="s">
        <v>654</v>
      </c>
      <c r="O1233" s="75" t="s">
        <v>203</v>
      </c>
      <c r="P1233" s="134" t="str">
        <f>IF(AND('331-CT'!$E$7=TH!H1233,OR(N1233="331",O1233="331")),"x","")</f>
        <v/>
      </c>
    </row>
    <row r="1234" spans="1:16" ht="18" hidden="1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42392</v>
      </c>
      <c r="F1234" s="76" t="s">
        <v>1215</v>
      </c>
      <c r="G1234" s="265" t="s">
        <v>1216</v>
      </c>
      <c r="H1234" s="122" t="s">
        <v>1211</v>
      </c>
      <c r="I1234" s="122"/>
      <c r="J1234" s="122"/>
      <c r="K1234" s="122"/>
      <c r="L1234" s="122"/>
      <c r="M1234" s="74">
        <v>15000000</v>
      </c>
      <c r="N1234" s="75" t="s">
        <v>654</v>
      </c>
      <c r="O1234" s="75" t="s">
        <v>203</v>
      </c>
      <c r="P1234" s="134" t="str">
        <f>IF(AND('331-CT'!$E$7=TH!H1234,OR(N1234="331",O1234="331")),"x","")</f>
        <v/>
      </c>
    </row>
    <row r="1235" spans="1:16" ht="18" hidden="1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 t="s">
        <v>1242</v>
      </c>
      <c r="H1235" s="122" t="s">
        <v>271</v>
      </c>
      <c r="I1235" s="122"/>
      <c r="J1235" s="122"/>
      <c r="K1235" s="122"/>
      <c r="L1235" s="122"/>
      <c r="M1235" s="74">
        <v>370000000</v>
      </c>
      <c r="N1235" s="75" t="s">
        <v>54</v>
      </c>
      <c r="O1235" s="75" t="s">
        <v>203</v>
      </c>
      <c r="P1235" s="134" t="str">
        <f>IF(AND('331-CT'!$E$7=TH!H1235,OR(N1235="331",O1235="331")),"x","")</f>
        <v/>
      </c>
    </row>
    <row r="1236" spans="1:16" ht="18" hidden="1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 t="s">
        <v>1242</v>
      </c>
      <c r="H1236" s="122" t="s">
        <v>301</v>
      </c>
      <c r="I1236" s="122"/>
      <c r="J1236" s="122"/>
      <c r="K1236" s="122"/>
      <c r="L1236" s="122"/>
      <c r="M1236" s="74">
        <v>171000000</v>
      </c>
      <c r="N1236" s="75" t="s">
        <v>18</v>
      </c>
      <c r="O1236" s="75" t="s">
        <v>54</v>
      </c>
      <c r="P1236" s="134" t="str">
        <f>IF(AND('331-CT'!$E$7=TH!H1236,OR(N1236="331",O1236="331")),"x","")</f>
        <v/>
      </c>
    </row>
    <row r="1237" spans="1:16" ht="18" hidden="1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 t="s">
        <v>1242</v>
      </c>
      <c r="H1237" s="122"/>
      <c r="I1237" s="122"/>
      <c r="J1237" s="122"/>
      <c r="K1237" s="122"/>
      <c r="L1237" s="122"/>
      <c r="M1237" s="74">
        <v>126515</v>
      </c>
      <c r="N1237" s="75" t="s">
        <v>241</v>
      </c>
      <c r="O1237" s="75" t="s">
        <v>54</v>
      </c>
      <c r="P1237" s="134" t="str">
        <f>IF(AND('331-CT'!$E$7=TH!H1237,OR(N1237="331",O1237="331")),"x","")</f>
        <v/>
      </c>
    </row>
    <row r="1238" spans="1:16" ht="18" hidden="1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 t="s">
        <v>1242</v>
      </c>
      <c r="H1238" s="122"/>
      <c r="I1238" s="122"/>
      <c r="J1238" s="122"/>
      <c r="K1238" s="122"/>
      <c r="L1238" s="122"/>
      <c r="M1238" s="74">
        <v>12651</v>
      </c>
      <c r="N1238" s="75" t="s">
        <v>19</v>
      </c>
      <c r="O1238" s="75" t="s">
        <v>54</v>
      </c>
      <c r="P1238" s="134" t="str">
        <f>IF(AND('331-CT'!$E$7=TH!H1238,OR(N1238="331",O1238="331")),"x","")</f>
        <v/>
      </c>
    </row>
    <row r="1239" spans="1:16" ht="18" hidden="1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 t="s">
        <v>1242</v>
      </c>
      <c r="H1239" s="122" t="s">
        <v>85</v>
      </c>
      <c r="I1239" s="122"/>
      <c r="J1239" s="122"/>
      <c r="K1239" s="122"/>
      <c r="L1239" s="122"/>
      <c r="M1239" s="74">
        <v>200000000</v>
      </c>
      <c r="N1239" s="75" t="s">
        <v>18</v>
      </c>
      <c r="O1239" s="75" t="s">
        <v>54</v>
      </c>
      <c r="P1239" s="134" t="str">
        <f>IF(AND('331-CT'!$E$7=TH!H1239,OR(N1239="331",O1239="331")),"x","")</f>
        <v/>
      </c>
    </row>
    <row r="1240" spans="1:16" ht="18" hidden="1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 t="s">
        <v>1242</v>
      </c>
      <c r="H1240" s="122"/>
      <c r="I1240" s="122"/>
      <c r="J1240" s="122"/>
      <c r="K1240" s="122"/>
      <c r="L1240" s="122"/>
      <c r="M1240" s="74">
        <v>160000</v>
      </c>
      <c r="N1240" s="75" t="s">
        <v>241</v>
      </c>
      <c r="O1240" s="75" t="s">
        <v>54</v>
      </c>
      <c r="P1240" s="134" t="str">
        <f>IF(AND('331-CT'!$E$7=TH!H1240,OR(N1240="331",O1240="331")),"x","")</f>
        <v/>
      </c>
    </row>
    <row r="1241" spans="1:16" ht="18" hidden="1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 t="s">
        <v>1242</v>
      </c>
      <c r="H1241" s="122"/>
      <c r="I1241" s="122"/>
      <c r="J1241" s="122"/>
      <c r="K1241" s="122"/>
      <c r="L1241" s="122"/>
      <c r="M1241" s="74">
        <v>16000</v>
      </c>
      <c r="N1241" s="75" t="s">
        <v>19</v>
      </c>
      <c r="O1241" s="75" t="s">
        <v>54</v>
      </c>
      <c r="P1241" s="134" t="str">
        <f>IF(AND('331-CT'!$E$7=TH!H1241,OR(N1241="331",O1241="331")),"x","")</f>
        <v/>
      </c>
    </row>
    <row r="1242" spans="1:16" ht="18" hidden="1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 t="s">
        <v>1242</v>
      </c>
      <c r="H1242" s="122" t="s">
        <v>648</v>
      </c>
      <c r="I1242" s="122"/>
      <c r="J1242" s="122"/>
      <c r="K1242" s="122"/>
      <c r="L1242" s="122"/>
      <c r="M1242" s="74">
        <v>31108110</v>
      </c>
      <c r="N1242" s="75" t="s">
        <v>18</v>
      </c>
      <c r="O1242" s="75" t="s">
        <v>54</v>
      </c>
      <c r="P1242" s="134" t="str">
        <f>IF(AND('331-CT'!$E$7=TH!H1242,OR(N1242="331",O1242="331")),"x","")</f>
        <v/>
      </c>
    </row>
    <row r="1243" spans="1:16" ht="18" hidden="1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 t="s">
        <v>1242</v>
      </c>
      <c r="H1243" s="122"/>
      <c r="I1243" s="122"/>
      <c r="J1243" s="122"/>
      <c r="K1243" s="122"/>
      <c r="L1243" s="122"/>
      <c r="M1243" s="74">
        <v>45000</v>
      </c>
      <c r="N1243" s="75" t="s">
        <v>241</v>
      </c>
      <c r="O1243" s="75" t="s">
        <v>54</v>
      </c>
      <c r="P1243" s="134" t="str">
        <f>IF(AND('331-CT'!$E$7=TH!H1243,OR(N1243="331",O1243="331")),"x","")</f>
        <v/>
      </c>
    </row>
    <row r="1244" spans="1:16" ht="18" hidden="1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 t="s">
        <v>1242</v>
      </c>
      <c r="H1244" s="122"/>
      <c r="I1244" s="122"/>
      <c r="J1244" s="122"/>
      <c r="K1244" s="122"/>
      <c r="L1244" s="122"/>
      <c r="M1244" s="74">
        <v>4500</v>
      </c>
      <c r="N1244" s="75" t="s">
        <v>19</v>
      </c>
      <c r="O1244" s="75" t="s">
        <v>54</v>
      </c>
      <c r="P1244" s="134" t="str">
        <f>IF(AND('331-CT'!$E$7=TH!H1244,OR(N1244="331",O1244="331")),"x","")</f>
        <v/>
      </c>
    </row>
    <row r="1245" spans="1:16" ht="18" hidden="1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1217</v>
      </c>
      <c r="H1245" s="122" t="s">
        <v>1218</v>
      </c>
      <c r="I1245" s="122"/>
      <c r="J1245" s="122"/>
      <c r="K1245" s="122"/>
      <c r="L1245" s="122"/>
      <c r="M1245" s="74">
        <v>1454545</v>
      </c>
      <c r="N1245" s="75" t="s">
        <v>654</v>
      </c>
      <c r="O1245" s="75" t="s">
        <v>203</v>
      </c>
      <c r="P1245" s="134" t="str">
        <f>IF(AND('331-CT'!$E$7=TH!H1245,OR(N1245="331",O1245="331")),"x","")</f>
        <v/>
      </c>
    </row>
    <row r="1246" spans="1:16" ht="18" hidden="1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1217</v>
      </c>
      <c r="H1246" s="122" t="s">
        <v>1218</v>
      </c>
      <c r="I1246" s="122"/>
      <c r="J1246" s="122"/>
      <c r="K1246" s="122"/>
      <c r="L1246" s="122"/>
      <c r="M1246" s="74">
        <v>145455</v>
      </c>
      <c r="N1246" s="75" t="s">
        <v>1443</v>
      </c>
      <c r="O1246" s="75" t="s">
        <v>203</v>
      </c>
      <c r="P1246" s="134" t="str">
        <f>IF(AND('331-CT'!$E$7=TH!H1246,OR(N1246="331",O1246="331")),"x","")</f>
        <v/>
      </c>
    </row>
    <row r="1247" spans="1:16" ht="18" hidden="1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1219</v>
      </c>
      <c r="H1247" s="122" t="s">
        <v>828</v>
      </c>
      <c r="I1247" s="122"/>
      <c r="J1247" s="122"/>
      <c r="K1247" s="122"/>
      <c r="L1247" s="122"/>
      <c r="M1247" s="74">
        <v>3228000</v>
      </c>
      <c r="N1247" s="75" t="s">
        <v>654</v>
      </c>
      <c r="O1247" s="75" t="s">
        <v>203</v>
      </c>
      <c r="P1247" s="134" t="str">
        <f>IF(AND('331-CT'!$E$7=TH!H1247,OR(N1247="331",O1247="331")),"x","")</f>
        <v/>
      </c>
    </row>
    <row r="1248" spans="1:16" ht="18" hidden="1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 t="s">
        <v>1242</v>
      </c>
      <c r="H1248" s="122" t="s">
        <v>271</v>
      </c>
      <c r="I1248" s="122"/>
      <c r="J1248" s="122"/>
      <c r="K1248" s="122"/>
      <c r="L1248" s="122"/>
      <c r="M1248" s="74">
        <v>600000000</v>
      </c>
      <c r="N1248" s="75" t="s">
        <v>54</v>
      </c>
      <c r="O1248" s="75" t="s">
        <v>203</v>
      </c>
      <c r="P1248" s="134" t="str">
        <f>IF(AND('331-CT'!$E$7=TH!H1248,OR(N1248="331",O1248="331")),"x","")</f>
        <v/>
      </c>
    </row>
    <row r="1249" spans="1:16" ht="18" hidden="1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 t="s">
        <v>1242</v>
      </c>
      <c r="H1249" s="122" t="s">
        <v>648</v>
      </c>
      <c r="I1249" s="122"/>
      <c r="J1249" s="122"/>
      <c r="K1249" s="122"/>
      <c r="L1249" s="122"/>
      <c r="M1249" s="74">
        <v>41319190</v>
      </c>
      <c r="N1249" s="75" t="s">
        <v>18</v>
      </c>
      <c r="O1249" s="75" t="s">
        <v>54</v>
      </c>
      <c r="P1249" s="134" t="str">
        <f>IF(AND('331-CT'!$E$7=TH!H1249,OR(N1249="331",O1249="331")),"x","")</f>
        <v/>
      </c>
    </row>
    <row r="1250" spans="1:16" ht="18" hidden="1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 t="s">
        <v>1242</v>
      </c>
      <c r="H1250" s="122"/>
      <c r="I1250" s="122"/>
      <c r="J1250" s="122"/>
      <c r="K1250" s="122"/>
      <c r="L1250" s="122"/>
      <c r="M1250" s="74">
        <v>45000</v>
      </c>
      <c r="N1250" s="75" t="s">
        <v>241</v>
      </c>
      <c r="O1250" s="75" t="s">
        <v>54</v>
      </c>
      <c r="P1250" s="134" t="str">
        <f>IF(AND('331-CT'!$E$7=TH!H1250,OR(N1250="331",O1250="331")),"x","")</f>
        <v/>
      </c>
    </row>
    <row r="1251" spans="1:16" ht="18" hidden="1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 t="s">
        <v>1242</v>
      </c>
      <c r="H1251" s="122"/>
      <c r="I1251" s="122"/>
      <c r="J1251" s="122"/>
      <c r="K1251" s="122"/>
      <c r="L1251" s="122"/>
      <c r="M1251" s="74">
        <v>4500</v>
      </c>
      <c r="N1251" s="75" t="s">
        <v>19</v>
      </c>
      <c r="O1251" s="75" t="s">
        <v>54</v>
      </c>
      <c r="P1251" s="134" t="str">
        <f>IF(AND('331-CT'!$E$7=TH!H1251,OR(N1251="331",O1251="331")),"x","")</f>
        <v/>
      </c>
    </row>
    <row r="1252" spans="1:16" ht="18" hidden="1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 t="s">
        <v>1242</v>
      </c>
      <c r="H1252" s="122" t="s">
        <v>190</v>
      </c>
      <c r="I1252" s="122"/>
      <c r="J1252" s="122"/>
      <c r="K1252" s="122"/>
      <c r="L1252" s="122"/>
      <c r="M1252" s="74">
        <v>37981566</v>
      </c>
      <c r="N1252" s="75" t="s">
        <v>18</v>
      </c>
      <c r="O1252" s="75" t="s">
        <v>54</v>
      </c>
      <c r="P1252" s="134" t="str">
        <f>IF(AND('331-CT'!$E$7=TH!H1252,OR(N1252="331",O1252="331")),"x","")</f>
        <v/>
      </c>
    </row>
    <row r="1253" spans="1:16" ht="18" hidden="1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 t="s">
        <v>1242</v>
      </c>
      <c r="H1253" s="122"/>
      <c r="I1253" s="122"/>
      <c r="J1253" s="122"/>
      <c r="K1253" s="122"/>
      <c r="L1253" s="122"/>
      <c r="M1253" s="74">
        <v>45000</v>
      </c>
      <c r="N1253" s="75" t="s">
        <v>241</v>
      </c>
      <c r="O1253" s="75" t="s">
        <v>54</v>
      </c>
      <c r="P1253" s="134" t="str">
        <f>IF(AND('331-CT'!$E$7=TH!H1253,OR(N1253="331",O1253="331")),"x","")</f>
        <v/>
      </c>
    </row>
    <row r="1254" spans="1:16" ht="18" hidden="1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 t="s">
        <v>1242</v>
      </c>
      <c r="H1254" s="122"/>
      <c r="I1254" s="122"/>
      <c r="J1254" s="122"/>
      <c r="K1254" s="122"/>
      <c r="L1254" s="122"/>
      <c r="M1254" s="74">
        <v>4500</v>
      </c>
      <c r="N1254" s="75" t="s">
        <v>19</v>
      </c>
      <c r="O1254" s="75" t="s">
        <v>54</v>
      </c>
      <c r="P1254" s="134" t="str">
        <f>IF(AND('331-CT'!$E$7=TH!H1254,OR(N1254="331",O1254="331")),"x","")</f>
        <v/>
      </c>
    </row>
    <row r="1255" spans="1:16" ht="18" hidden="1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 t="s">
        <v>1242</v>
      </c>
      <c r="H1255" s="122" t="s">
        <v>109</v>
      </c>
      <c r="I1255" s="122"/>
      <c r="J1255" s="122"/>
      <c r="K1255" s="122"/>
      <c r="L1255" s="122"/>
      <c r="M1255" s="74">
        <v>50000000</v>
      </c>
      <c r="N1255" s="75" t="s">
        <v>18</v>
      </c>
      <c r="O1255" s="75" t="s">
        <v>54</v>
      </c>
      <c r="P1255" s="134" t="str">
        <f>IF(AND('331-CT'!$E$7=TH!H1255,OR(N1255="331",O1255="331")),"x","")</f>
        <v/>
      </c>
    </row>
    <row r="1256" spans="1:16" ht="18" hidden="1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 t="s">
        <v>1242</v>
      </c>
      <c r="H1256" s="122"/>
      <c r="I1256" s="122"/>
      <c r="J1256" s="122"/>
      <c r="K1256" s="122"/>
      <c r="L1256" s="122"/>
      <c r="M1256" s="74">
        <v>45000</v>
      </c>
      <c r="N1256" s="75" t="s">
        <v>241</v>
      </c>
      <c r="O1256" s="75" t="s">
        <v>54</v>
      </c>
      <c r="P1256" s="134" t="str">
        <f>IF(AND('331-CT'!$E$7=TH!H1256,OR(N1256="331",O1256="331")),"x","")</f>
        <v/>
      </c>
    </row>
    <row r="1257" spans="1:16" ht="18" hidden="1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 t="s">
        <v>1242</v>
      </c>
      <c r="H1257" s="122"/>
      <c r="I1257" s="122"/>
      <c r="J1257" s="122"/>
      <c r="K1257" s="122"/>
      <c r="L1257" s="122"/>
      <c r="M1257" s="74">
        <v>4500</v>
      </c>
      <c r="N1257" s="75" t="s">
        <v>19</v>
      </c>
      <c r="O1257" s="75" t="s">
        <v>54</v>
      </c>
      <c r="P1257" s="134" t="str">
        <f>IF(AND('331-CT'!$E$7=TH!H1257,OR(N1257="331",O1257="331")),"x","")</f>
        <v/>
      </c>
    </row>
    <row r="1258" spans="1:16" ht="18" hidden="1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 t="s">
        <v>1242</v>
      </c>
      <c r="H1258" s="122" t="s">
        <v>406</v>
      </c>
      <c r="I1258" s="122"/>
      <c r="J1258" s="122"/>
      <c r="K1258" s="122"/>
      <c r="L1258" s="122"/>
      <c r="M1258" s="74">
        <v>60000000</v>
      </c>
      <c r="N1258" s="75" t="s">
        <v>18</v>
      </c>
      <c r="O1258" s="75" t="s">
        <v>54</v>
      </c>
      <c r="P1258" s="134" t="str">
        <f>IF(AND('331-CT'!$E$7=TH!H1258,OR(N1258="331",O1258="331")),"x","")</f>
        <v/>
      </c>
    </row>
    <row r="1259" spans="1:16" ht="18" hidden="1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 t="s">
        <v>1242</v>
      </c>
      <c r="H1259" s="122"/>
      <c r="I1259" s="122"/>
      <c r="J1259" s="122"/>
      <c r="K1259" s="122"/>
      <c r="L1259" s="122"/>
      <c r="M1259" s="74">
        <v>50000</v>
      </c>
      <c r="N1259" s="75" t="s">
        <v>241</v>
      </c>
      <c r="O1259" s="75" t="s">
        <v>54</v>
      </c>
      <c r="P1259" s="134" t="str">
        <f>IF(AND('331-CT'!$E$7=TH!H1259,OR(N1259="331",O1259="331")),"x","")</f>
        <v/>
      </c>
    </row>
    <row r="1260" spans="1:16" ht="18" hidden="1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 t="s">
        <v>1242</v>
      </c>
      <c r="H1260" s="122"/>
      <c r="I1260" s="122"/>
      <c r="J1260" s="122"/>
      <c r="K1260" s="122"/>
      <c r="L1260" s="122"/>
      <c r="M1260" s="74">
        <v>5000</v>
      </c>
      <c r="N1260" s="75" t="s">
        <v>19</v>
      </c>
      <c r="O1260" s="75" t="s">
        <v>54</v>
      </c>
      <c r="P1260" s="134" t="str">
        <f>IF(AND('331-CT'!$E$7=TH!H1260,OR(N1260="331",O1260="331")),"x","")</f>
        <v/>
      </c>
    </row>
    <row r="1261" spans="1:16" ht="18" hidden="1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 t="s">
        <v>1242</v>
      </c>
      <c r="H1261" s="122" t="s">
        <v>85</v>
      </c>
      <c r="I1261" s="122"/>
      <c r="J1261" s="122"/>
      <c r="K1261" s="122"/>
      <c r="L1261" s="122"/>
      <c r="M1261" s="74">
        <v>300000000</v>
      </c>
      <c r="N1261" s="75" t="s">
        <v>18</v>
      </c>
      <c r="O1261" s="75" t="s">
        <v>54</v>
      </c>
      <c r="P1261" s="134" t="str">
        <f>IF(AND('331-CT'!$E$7=TH!H1261,OR(N1261="331",O1261="331")),"x","")</f>
        <v/>
      </c>
    </row>
    <row r="1262" spans="1:16" ht="18" hidden="1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 t="s">
        <v>1242</v>
      </c>
      <c r="H1262" s="122"/>
      <c r="I1262" s="122"/>
      <c r="J1262" s="122"/>
      <c r="K1262" s="122"/>
      <c r="L1262" s="122"/>
      <c r="M1262" s="74">
        <v>240000</v>
      </c>
      <c r="N1262" s="75" t="s">
        <v>241</v>
      </c>
      <c r="O1262" s="75" t="s">
        <v>54</v>
      </c>
      <c r="P1262" s="134" t="str">
        <f>IF(AND('331-CT'!$E$7=TH!H1262,OR(N1262="331",O1262="331")),"x","")</f>
        <v/>
      </c>
    </row>
    <row r="1263" spans="1:16" ht="18" hidden="1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 t="s">
        <v>1242</v>
      </c>
      <c r="H1263" s="122"/>
      <c r="I1263" s="122"/>
      <c r="J1263" s="122"/>
      <c r="K1263" s="122"/>
      <c r="L1263" s="122"/>
      <c r="M1263" s="74">
        <v>24000</v>
      </c>
      <c r="N1263" s="75" t="s">
        <v>19</v>
      </c>
      <c r="O1263" s="75" t="s">
        <v>54</v>
      </c>
      <c r="P1263" s="134" t="str">
        <f>IF(AND('331-CT'!$E$7=TH!H1263,OR(N1263="331",O1263="331")),"x","")</f>
        <v/>
      </c>
    </row>
    <row r="1264" spans="1:16" ht="18" hidden="1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1266</v>
      </c>
      <c r="G1264" s="265" t="s">
        <v>1242</v>
      </c>
      <c r="H1264" s="122" t="s">
        <v>1200</v>
      </c>
      <c r="I1264" s="122"/>
      <c r="J1264" s="122"/>
      <c r="K1264" s="122"/>
      <c r="L1264" s="122"/>
      <c r="M1264" s="74">
        <v>110000000</v>
      </c>
      <c r="N1264" s="75" t="s">
        <v>39</v>
      </c>
      <c r="O1264" s="75" t="s">
        <v>54</v>
      </c>
      <c r="P1264" s="134" t="str">
        <f>IF(AND('331-CT'!$E$7=TH!H1264,OR(N1264="331",O1264="331")),"x","")</f>
        <v/>
      </c>
    </row>
    <row r="1265" spans="1:16" ht="18" hidden="1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1220</v>
      </c>
      <c r="G1265" s="265"/>
      <c r="H1265" s="122" t="s">
        <v>1200</v>
      </c>
      <c r="I1265" s="122"/>
      <c r="J1265" s="122"/>
      <c r="K1265" s="122"/>
      <c r="L1265" s="122"/>
      <c r="M1265" s="74">
        <v>110000000</v>
      </c>
      <c r="N1265" s="75" t="s">
        <v>203</v>
      </c>
      <c r="O1265" s="75" t="s">
        <v>39</v>
      </c>
      <c r="P1265" s="134" t="str">
        <f>IF(AND('331-CT'!$E$7=TH!H1265,OR(N1265="331",O1265="331")),"x","")</f>
        <v/>
      </c>
    </row>
    <row r="1266" spans="1:16" ht="18" hidden="1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 t="s">
        <v>1242</v>
      </c>
      <c r="H1266" s="122"/>
      <c r="I1266" s="122"/>
      <c r="J1266" s="122"/>
      <c r="K1266" s="122"/>
      <c r="L1266" s="122"/>
      <c r="M1266" s="74">
        <v>33000</v>
      </c>
      <c r="N1266" s="75" t="s">
        <v>241</v>
      </c>
      <c r="O1266" s="75" t="s">
        <v>54</v>
      </c>
      <c r="P1266" s="134" t="str">
        <f>IF(AND('331-CT'!$E$7=TH!H1266,OR(N1266="331",O1266="331")),"x","")</f>
        <v/>
      </c>
    </row>
    <row r="1267" spans="1:16" ht="18" hidden="1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 t="s">
        <v>1242</v>
      </c>
      <c r="H1267" s="122"/>
      <c r="I1267" s="122"/>
      <c r="J1267" s="122"/>
      <c r="K1267" s="122"/>
      <c r="L1267" s="122"/>
      <c r="M1267" s="74">
        <v>3300</v>
      </c>
      <c r="N1267" s="75" t="s">
        <v>19</v>
      </c>
      <c r="O1267" s="75" t="s">
        <v>54</v>
      </c>
      <c r="P1267" s="134" t="str">
        <f>IF(AND('331-CT'!$E$7=TH!H1267,OR(N1267="331",O1267="331")),"x","")</f>
        <v/>
      </c>
    </row>
    <row r="1268" spans="1:16" ht="18" hidden="1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1221</v>
      </c>
      <c r="G1268" s="265" t="s">
        <v>1222</v>
      </c>
      <c r="H1268" s="122" t="s">
        <v>782</v>
      </c>
      <c r="I1268" s="122"/>
      <c r="J1268" s="122"/>
      <c r="K1268" s="122"/>
      <c r="L1268" s="122"/>
      <c r="M1268" s="74">
        <v>6818182</v>
      </c>
      <c r="N1268" s="75" t="s">
        <v>241</v>
      </c>
      <c r="O1268" s="75" t="s">
        <v>203</v>
      </c>
      <c r="P1268" s="134" t="str">
        <f>IF(AND('331-CT'!$E$7=TH!H1268,OR(N1268="331",O1268="331")),"x","")</f>
        <v/>
      </c>
    </row>
    <row r="1269" spans="1:16" ht="18" hidden="1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1223</v>
      </c>
      <c r="G1269" s="265" t="s">
        <v>1222</v>
      </c>
      <c r="H1269" s="122" t="s">
        <v>782</v>
      </c>
      <c r="I1269" s="122"/>
      <c r="J1269" s="122"/>
      <c r="K1269" s="122"/>
      <c r="L1269" s="122"/>
      <c r="M1269" s="74">
        <v>681818</v>
      </c>
      <c r="N1269" s="75" t="s">
        <v>19</v>
      </c>
      <c r="O1269" s="75" t="s">
        <v>203</v>
      </c>
      <c r="P1269" s="134" t="str">
        <f>IF(AND('331-CT'!$E$7=TH!H1269,OR(N1269="331",O1269="331")),"x","")</f>
        <v/>
      </c>
    </row>
    <row r="1270" spans="1:16" ht="18" hidden="1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1224</v>
      </c>
      <c r="G1270" s="265" t="s">
        <v>1225</v>
      </c>
      <c r="H1270" s="122" t="s">
        <v>279</v>
      </c>
      <c r="I1270" s="122"/>
      <c r="J1270" s="122"/>
      <c r="K1270" s="122"/>
      <c r="L1270" s="122"/>
      <c r="M1270" s="74">
        <v>514077</v>
      </c>
      <c r="N1270" s="75" t="s">
        <v>241</v>
      </c>
      <c r="O1270" s="75" t="s">
        <v>203</v>
      </c>
      <c r="P1270" s="134" t="str">
        <f>IF(AND('331-CT'!$E$7=TH!H1270,OR(N1270="331",O1270="331")),"x","")</f>
        <v/>
      </c>
    </row>
    <row r="1271" spans="1:16" ht="18" hidden="1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1226</v>
      </c>
      <c r="G1271" s="265" t="s">
        <v>1225</v>
      </c>
      <c r="H1271" s="122" t="s">
        <v>279</v>
      </c>
      <c r="I1271" s="122"/>
      <c r="J1271" s="122"/>
      <c r="K1271" s="122"/>
      <c r="L1271" s="122"/>
      <c r="M1271" s="74">
        <v>51408</v>
      </c>
      <c r="N1271" s="75" t="s">
        <v>19</v>
      </c>
      <c r="O1271" s="75" t="s">
        <v>203</v>
      </c>
      <c r="P1271" s="134" t="str">
        <f>IF(AND('331-CT'!$E$7=TH!H1271,OR(N1271="331",O1271="331")),"x","")</f>
        <v/>
      </c>
    </row>
    <row r="1272" spans="1:16" ht="18" hidden="1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 t="s">
        <v>1242</v>
      </c>
      <c r="H1272" s="122" t="s">
        <v>271</v>
      </c>
      <c r="I1272" s="122"/>
      <c r="J1272" s="122"/>
      <c r="K1272" s="122"/>
      <c r="L1272" s="122"/>
      <c r="M1272" s="74">
        <v>170000000</v>
      </c>
      <c r="N1272" s="75" t="s">
        <v>54</v>
      </c>
      <c r="O1272" s="75" t="s">
        <v>203</v>
      </c>
      <c r="P1272" s="134" t="str">
        <f>IF(AND('331-CT'!$E$7=TH!H1272,OR(N1272="331",O1272="331")),"x","")</f>
        <v/>
      </c>
    </row>
    <row r="1273" spans="1:16" ht="18" hidden="1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 t="s">
        <v>1242</v>
      </c>
      <c r="H1273" s="122" t="s">
        <v>313</v>
      </c>
      <c r="I1273" s="122"/>
      <c r="J1273" s="122"/>
      <c r="K1273" s="122"/>
      <c r="L1273" s="122"/>
      <c r="M1273" s="74">
        <v>8196747</v>
      </c>
      <c r="N1273" s="75" t="s">
        <v>239</v>
      </c>
      <c r="O1273" s="75" t="s">
        <v>54</v>
      </c>
      <c r="P1273" s="134" t="str">
        <f>IF(AND('331-CT'!$E$7=TH!H1273,OR(N1273="331",O1273="331")),"x","")</f>
        <v/>
      </c>
    </row>
    <row r="1274" spans="1:16" ht="18" hidden="1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 t="s">
        <v>1242</v>
      </c>
      <c r="H1274" s="122" t="s">
        <v>314</v>
      </c>
      <c r="I1274" s="122"/>
      <c r="J1274" s="122"/>
      <c r="K1274" s="122"/>
      <c r="L1274" s="122"/>
      <c r="M1274" s="74">
        <v>16393492</v>
      </c>
      <c r="N1274" s="75" t="s">
        <v>239</v>
      </c>
      <c r="O1274" s="75" t="s">
        <v>54</v>
      </c>
      <c r="P1274" s="134" t="str">
        <f>IF(AND('331-CT'!$E$7=TH!H1274,OR(N1274="331",O1274="331")),"x","")</f>
        <v/>
      </c>
    </row>
    <row r="1275" spans="1:16" ht="18" hidden="1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 t="s">
        <v>1242</v>
      </c>
      <c r="H1275" s="122" t="s">
        <v>316</v>
      </c>
      <c r="I1275" s="122"/>
      <c r="J1275" s="122"/>
      <c r="K1275" s="122"/>
      <c r="L1275" s="122"/>
      <c r="M1275" s="74">
        <v>13114794</v>
      </c>
      <c r="N1275" s="75" t="s">
        <v>239</v>
      </c>
      <c r="O1275" s="75" t="s">
        <v>54</v>
      </c>
      <c r="P1275" s="134" t="str">
        <f>IF(AND('331-CT'!$E$7=TH!H1275,OR(N1275="331",O1275="331")),"x","")</f>
        <v/>
      </c>
    </row>
    <row r="1276" spans="1:16" ht="18" hidden="1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 t="s">
        <v>1242</v>
      </c>
      <c r="H1276" s="122" t="s">
        <v>315</v>
      </c>
      <c r="I1276" s="122"/>
      <c r="J1276" s="122"/>
      <c r="K1276" s="122"/>
      <c r="L1276" s="122"/>
      <c r="M1276" s="74">
        <v>12295119</v>
      </c>
      <c r="N1276" s="75" t="s">
        <v>239</v>
      </c>
      <c r="O1276" s="75" t="s">
        <v>54</v>
      </c>
      <c r="P1276" s="134" t="str">
        <f>IF(AND('331-CT'!$E$7=TH!H1276,OR(N1276="331",O1276="331")),"x","")</f>
        <v/>
      </c>
    </row>
    <row r="1277" spans="1:16" ht="18" hidden="1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 t="s">
        <v>1242</v>
      </c>
      <c r="H1277" s="122" t="s">
        <v>1058</v>
      </c>
      <c r="I1277" s="122"/>
      <c r="J1277" s="122"/>
      <c r="K1277" s="122"/>
      <c r="L1277" s="122"/>
      <c r="M1277" s="74">
        <v>8196747</v>
      </c>
      <c r="N1277" s="75" t="s">
        <v>239</v>
      </c>
      <c r="O1277" s="75" t="s">
        <v>54</v>
      </c>
      <c r="P1277" s="134" t="str">
        <f>IF(AND('331-CT'!$E$7=TH!H1277,OR(N1277="331",O1277="331")),"x","")</f>
        <v/>
      </c>
    </row>
    <row r="1278" spans="1:16" ht="18" hidden="1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 t="s">
        <v>1242</v>
      </c>
      <c r="H1278" s="122" t="s">
        <v>317</v>
      </c>
      <c r="I1278" s="122"/>
      <c r="J1278" s="122"/>
      <c r="K1278" s="122"/>
      <c r="L1278" s="122"/>
      <c r="M1278" s="74">
        <v>11615220</v>
      </c>
      <c r="N1278" s="75" t="s">
        <v>239</v>
      </c>
      <c r="O1278" s="75" t="s">
        <v>54</v>
      </c>
      <c r="P1278" s="134" t="str">
        <f>IF(AND('331-CT'!$E$7=TH!H1278,OR(N1278="331",O1278="331")),"x","")</f>
        <v/>
      </c>
    </row>
    <row r="1279" spans="1:16" ht="18" hidden="1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 t="s">
        <v>1242</v>
      </c>
      <c r="H1279" s="122" t="s">
        <v>318</v>
      </c>
      <c r="I1279" s="122"/>
      <c r="J1279" s="122"/>
      <c r="K1279" s="122"/>
      <c r="L1279" s="122"/>
      <c r="M1279" s="74">
        <v>12295119</v>
      </c>
      <c r="N1279" s="75" t="s">
        <v>239</v>
      </c>
      <c r="O1279" s="75" t="s">
        <v>54</v>
      </c>
      <c r="P1279" s="134" t="str">
        <f>IF(AND('331-CT'!$E$7=TH!H1279,OR(N1279="331",O1279="331")),"x","")</f>
        <v/>
      </c>
    </row>
    <row r="1280" spans="1:16" ht="18" hidden="1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 t="s">
        <v>1242</v>
      </c>
      <c r="H1280" s="122" t="s">
        <v>319</v>
      </c>
      <c r="I1280" s="122"/>
      <c r="J1280" s="122"/>
      <c r="K1280" s="122"/>
      <c r="L1280" s="122"/>
      <c r="M1280" s="74">
        <v>16393492</v>
      </c>
      <c r="N1280" s="75" t="s">
        <v>239</v>
      </c>
      <c r="O1280" s="75" t="s">
        <v>54</v>
      </c>
      <c r="P1280" s="134" t="str">
        <f>IF(AND('331-CT'!$E$7=TH!H1280,OR(N1280="331",O1280="331")),"x","")</f>
        <v/>
      </c>
    </row>
    <row r="1281" spans="1:16" ht="18" hidden="1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 t="s">
        <v>1242</v>
      </c>
      <c r="H1281" s="122" t="s">
        <v>320</v>
      </c>
      <c r="I1281" s="122"/>
      <c r="J1281" s="122"/>
      <c r="K1281" s="122"/>
      <c r="L1281" s="122"/>
      <c r="M1281" s="74">
        <v>11475445</v>
      </c>
      <c r="N1281" s="75" t="s">
        <v>239</v>
      </c>
      <c r="O1281" s="75" t="s">
        <v>54</v>
      </c>
      <c r="P1281" s="134" t="str">
        <f>IF(AND('331-CT'!$E$7=TH!H1281,OR(N1281="331",O1281="331")),"x","")</f>
        <v/>
      </c>
    </row>
    <row r="1282" spans="1:16" ht="18" hidden="1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 t="s">
        <v>1242</v>
      </c>
      <c r="H1282" s="122" t="s">
        <v>321</v>
      </c>
      <c r="I1282" s="122"/>
      <c r="J1282" s="122"/>
      <c r="K1282" s="122"/>
      <c r="L1282" s="122"/>
      <c r="M1282" s="74">
        <v>12295119</v>
      </c>
      <c r="N1282" s="75" t="s">
        <v>239</v>
      </c>
      <c r="O1282" s="75" t="s">
        <v>54</v>
      </c>
      <c r="P1282" s="134" t="str">
        <f>IF(AND('331-CT'!$E$7=TH!H1282,OR(N1282="331",O1282="331")),"x","")</f>
        <v/>
      </c>
    </row>
    <row r="1283" spans="1:16" ht="18" hidden="1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 t="s">
        <v>1242</v>
      </c>
      <c r="H1283" s="122" t="s">
        <v>323</v>
      </c>
      <c r="I1283" s="122"/>
      <c r="J1283" s="122"/>
      <c r="K1283" s="122"/>
      <c r="L1283" s="122"/>
      <c r="M1283" s="74">
        <v>12295119</v>
      </c>
      <c r="N1283" s="75" t="s">
        <v>239</v>
      </c>
      <c r="O1283" s="75" t="s">
        <v>54</v>
      </c>
      <c r="P1283" s="134" t="str">
        <f>IF(AND('331-CT'!$E$7=TH!H1283,OR(N1283="331",O1283="331")),"x","")</f>
        <v/>
      </c>
    </row>
    <row r="1284" spans="1:16" ht="18" hidden="1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 t="s">
        <v>1242</v>
      </c>
      <c r="H1284" s="122" t="s">
        <v>325</v>
      </c>
      <c r="I1284" s="122"/>
      <c r="J1284" s="122"/>
      <c r="K1284" s="122"/>
      <c r="L1284" s="122"/>
      <c r="M1284" s="74">
        <v>12295119</v>
      </c>
      <c r="N1284" s="75" t="s">
        <v>239</v>
      </c>
      <c r="O1284" s="75" t="s">
        <v>54</v>
      </c>
      <c r="P1284" s="134" t="str">
        <f>IF(AND('331-CT'!$E$7=TH!H1284,OR(N1284="331",O1284="331")),"x","")</f>
        <v/>
      </c>
    </row>
    <row r="1285" spans="1:16" ht="18" hidden="1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 t="s">
        <v>1242</v>
      </c>
      <c r="H1285" s="122" t="s">
        <v>416</v>
      </c>
      <c r="I1285" s="122"/>
      <c r="J1285" s="122"/>
      <c r="K1285" s="122"/>
      <c r="L1285" s="122"/>
      <c r="M1285" s="74">
        <v>12295119</v>
      </c>
      <c r="N1285" s="75" t="s">
        <v>239</v>
      </c>
      <c r="O1285" s="75" t="s">
        <v>54</v>
      </c>
      <c r="P1285" s="134" t="str">
        <f>IF(AND('331-CT'!$E$7=TH!H1285,OR(N1285="331",O1285="331")),"x","")</f>
        <v/>
      </c>
    </row>
    <row r="1286" spans="1:16" ht="18" hidden="1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 t="s">
        <v>1242</v>
      </c>
      <c r="H1286" s="122" t="s">
        <v>421</v>
      </c>
      <c r="I1286" s="122"/>
      <c r="J1286" s="122"/>
      <c r="K1286" s="122"/>
      <c r="L1286" s="122"/>
      <c r="M1286" s="74">
        <v>8196747</v>
      </c>
      <c r="N1286" s="75" t="s">
        <v>239</v>
      </c>
      <c r="O1286" s="75" t="s">
        <v>54</v>
      </c>
      <c r="P1286" s="134" t="str">
        <f>IF(AND('331-CT'!$E$7=TH!H1286,OR(N1286="331",O1286="331")),"x","")</f>
        <v/>
      </c>
    </row>
    <row r="1287" spans="1:16" ht="18" hidden="1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 t="s">
        <v>1242</v>
      </c>
      <c r="H1287" s="122"/>
      <c r="I1287" s="122"/>
      <c r="J1287" s="122"/>
      <c r="K1287" s="122"/>
      <c r="L1287" s="122"/>
      <c r="M1287" s="74">
        <v>5248</v>
      </c>
      <c r="N1287" s="75" t="s">
        <v>54</v>
      </c>
      <c r="O1287" s="75" t="s">
        <v>99</v>
      </c>
      <c r="P1287" s="134" t="str">
        <f>IF(AND('331-CT'!$E$7=TH!H1287,OR(N1287="331",O1287="331")),"x","")</f>
        <v/>
      </c>
    </row>
    <row r="1288" spans="1:16" ht="18" hidden="1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1266</v>
      </c>
      <c r="G1288" s="265" t="s">
        <v>1242</v>
      </c>
      <c r="H1288" s="122" t="s">
        <v>1200</v>
      </c>
      <c r="I1288" s="122"/>
      <c r="J1288" s="122"/>
      <c r="K1288" s="122"/>
      <c r="L1288" s="122"/>
      <c r="M1288" s="74">
        <v>5000000</v>
      </c>
      <c r="N1288" s="75" t="s">
        <v>54</v>
      </c>
      <c r="O1288" s="75" t="s">
        <v>39</v>
      </c>
      <c r="P1288" s="134" t="str">
        <f>IF(AND('331-CT'!$E$7=TH!H1288,OR(N1288="331",O1288="331")),"x","")</f>
        <v/>
      </c>
    </row>
    <row r="1289" spans="1:16" ht="18" hidden="1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1227</v>
      </c>
      <c r="G1289" s="265"/>
      <c r="H1289" s="122" t="s">
        <v>1200</v>
      </c>
      <c r="I1289" s="122"/>
      <c r="J1289" s="122"/>
      <c r="K1289" s="122"/>
      <c r="L1289" s="122"/>
      <c r="M1289" s="74">
        <v>5000000</v>
      </c>
      <c r="N1289" s="75" t="s">
        <v>39</v>
      </c>
      <c r="O1289" s="75" t="s">
        <v>203</v>
      </c>
      <c r="P1289" s="134" t="str">
        <f>IF(AND('331-CT'!$E$7=TH!H1289,OR(N1289="331",O1289="331")),"x","")</f>
        <v/>
      </c>
    </row>
    <row r="1290" spans="1:16" ht="18" hidden="1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 t="s">
        <v>1242</v>
      </c>
      <c r="H1290" s="122" t="s">
        <v>455</v>
      </c>
      <c r="I1290" s="122"/>
      <c r="J1290" s="122"/>
      <c r="K1290" s="122"/>
      <c r="L1290" s="122"/>
      <c r="M1290" s="74">
        <v>8199985</v>
      </c>
      <c r="N1290" s="75" t="s">
        <v>239</v>
      </c>
      <c r="O1290" s="75" t="s">
        <v>54</v>
      </c>
      <c r="P1290" s="134" t="str">
        <f>IF(AND('331-CT'!$E$7=TH!H1290,OR(N1290="331",O1290="331")),"x","")</f>
        <v/>
      </c>
    </row>
    <row r="1291" spans="1:16" ht="18" hidden="1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1235</v>
      </c>
      <c r="G1291" s="265" t="s">
        <v>1243</v>
      </c>
      <c r="H1291" s="122" t="s">
        <v>83</v>
      </c>
      <c r="I1291" s="122"/>
      <c r="J1291" s="122"/>
      <c r="K1291" s="122"/>
      <c r="L1291" s="122"/>
      <c r="M1291" s="74">
        <v>4324364</v>
      </c>
      <c r="N1291" s="75" t="s">
        <v>241</v>
      </c>
      <c r="O1291" s="75" t="s">
        <v>203</v>
      </c>
      <c r="P1291" s="134" t="str">
        <f>IF(AND('331-CT'!$E$7=TH!H1291,OR(N1291="331",O1291="331")),"x","")</f>
        <v/>
      </c>
    </row>
    <row r="1292" spans="1:16" ht="18" hidden="1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1444</v>
      </c>
      <c r="G1292" s="265" t="s">
        <v>1243</v>
      </c>
      <c r="H1292" s="122" t="s">
        <v>83</v>
      </c>
      <c r="I1292" s="122"/>
      <c r="J1292" s="122"/>
      <c r="K1292" s="122"/>
      <c r="L1292" s="122"/>
      <c r="M1292" s="74">
        <v>432436</v>
      </c>
      <c r="N1292" s="75" t="s">
        <v>19</v>
      </c>
      <c r="O1292" s="75" t="s">
        <v>203</v>
      </c>
      <c r="P1292" s="134" t="str">
        <f>IF(AND('331-CT'!$E$7=TH!H1292,OR(N1292="331",O1292="331")),"x","")</f>
        <v/>
      </c>
    </row>
    <row r="1293" spans="1:16" ht="18" hidden="1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1244</v>
      </c>
      <c r="G1293" s="265" t="s">
        <v>564</v>
      </c>
      <c r="H1293" s="122" t="s">
        <v>1236</v>
      </c>
      <c r="I1293" s="122"/>
      <c r="J1293" s="122"/>
      <c r="K1293" s="122"/>
      <c r="L1293" s="122"/>
      <c r="M1293" s="74">
        <v>3000000</v>
      </c>
      <c r="N1293" s="75" t="s">
        <v>241</v>
      </c>
      <c r="O1293" s="75" t="s">
        <v>203</v>
      </c>
      <c r="P1293" s="134" t="str">
        <f>IF(AND('331-CT'!$E$7=TH!H1293,OR(N1293="331",O1293="331")),"x","")</f>
        <v/>
      </c>
    </row>
    <row r="1294" spans="1:16" ht="18" hidden="1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1245</v>
      </c>
      <c r="G1294" s="265" t="s">
        <v>564</v>
      </c>
      <c r="H1294" s="122" t="s">
        <v>1236</v>
      </c>
      <c r="I1294" s="122"/>
      <c r="J1294" s="122"/>
      <c r="K1294" s="122"/>
      <c r="L1294" s="122"/>
      <c r="M1294" s="74">
        <v>300000</v>
      </c>
      <c r="N1294" s="75" t="s">
        <v>19</v>
      </c>
      <c r="O1294" s="75" t="s">
        <v>203</v>
      </c>
      <c r="P1294" s="134" t="str">
        <f>IF(AND('331-CT'!$E$7=TH!H1294,OR(N1294="331",O1294="331")),"x","")</f>
        <v/>
      </c>
    </row>
    <row r="1295" spans="1:16" ht="18" hidden="1" customHeight="1">
      <c r="A1295" s="72">
        <f t="shared" si="53"/>
        <v>2016</v>
      </c>
      <c r="B1295" s="72">
        <f t="shared" si="54"/>
        <v>2</v>
      </c>
      <c r="C1295" s="73">
        <v>42425</v>
      </c>
      <c r="D1295" s="73" t="s">
        <v>506</v>
      </c>
      <c r="E1295" s="73">
        <v>42425</v>
      </c>
      <c r="F1295" s="76" t="s">
        <v>1246</v>
      </c>
      <c r="G1295" s="265" t="s">
        <v>1247</v>
      </c>
      <c r="H1295" s="122" t="s">
        <v>188</v>
      </c>
      <c r="I1295" s="122"/>
      <c r="J1295" s="122"/>
      <c r="K1295" s="122"/>
      <c r="L1295" s="122"/>
      <c r="M1295" s="74">
        <v>7022600</v>
      </c>
      <c r="N1295" s="75" t="s">
        <v>241</v>
      </c>
      <c r="O1295" s="75" t="s">
        <v>203</v>
      </c>
      <c r="P1295" s="134" t="str">
        <f>IF(AND('331-CT'!$E$7=TH!H1295,OR(N1295="331",O1295="331")),"x","")</f>
        <v/>
      </c>
    </row>
    <row r="1296" spans="1:16" ht="18" hidden="1" customHeight="1">
      <c r="A1296" s="72">
        <f t="shared" si="53"/>
        <v>2016</v>
      </c>
      <c r="B1296" s="72">
        <f t="shared" si="54"/>
        <v>2</v>
      </c>
      <c r="C1296" s="73">
        <v>42425</v>
      </c>
      <c r="D1296" s="73" t="s">
        <v>506</v>
      </c>
      <c r="E1296" s="73">
        <v>42425</v>
      </c>
      <c r="F1296" s="76" t="s">
        <v>1248</v>
      </c>
      <c r="G1296" s="265" t="s">
        <v>1247</v>
      </c>
      <c r="H1296" s="122" t="s">
        <v>188</v>
      </c>
      <c r="I1296" s="122"/>
      <c r="J1296" s="122"/>
      <c r="K1296" s="122"/>
      <c r="L1296" s="122"/>
      <c r="M1296" s="74">
        <v>351130</v>
      </c>
      <c r="N1296" s="75" t="s">
        <v>19</v>
      </c>
      <c r="O1296" s="75" t="s">
        <v>203</v>
      </c>
      <c r="P1296" s="134" t="str">
        <f>IF(AND('331-CT'!$E$7=TH!H1296,OR(N1296="331",O1296="331")),"x","")</f>
        <v/>
      </c>
    </row>
    <row r="1297" spans="1:16" ht="18" hidden="1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507</v>
      </c>
      <c r="E1297" s="73">
        <v>42430</v>
      </c>
      <c r="F1297" s="76" t="s">
        <v>1195</v>
      </c>
      <c r="G1297" s="265" t="s">
        <v>1242</v>
      </c>
      <c r="H1297" s="122" t="s">
        <v>271</v>
      </c>
      <c r="I1297" s="122"/>
      <c r="J1297" s="122"/>
      <c r="K1297" s="122"/>
      <c r="L1297" s="122"/>
      <c r="M1297" s="74">
        <v>41000000</v>
      </c>
      <c r="N1297" s="75" t="s">
        <v>54</v>
      </c>
      <c r="O1297" s="75" t="s">
        <v>203</v>
      </c>
      <c r="P1297" s="134" t="str">
        <f>IF(AND('331-CT'!$E$7=TH!H1297,OR(N1297="331",O1297="331")),"x","")</f>
        <v/>
      </c>
    </row>
    <row r="1298" spans="1:16" ht="18" hidden="1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1228</v>
      </c>
      <c r="G1298" s="265" t="s">
        <v>1242</v>
      </c>
      <c r="H1298" s="122" t="s">
        <v>648</v>
      </c>
      <c r="I1298" s="122"/>
      <c r="J1298" s="122"/>
      <c r="K1298" s="122"/>
      <c r="L1298" s="122"/>
      <c r="M1298" s="74">
        <v>40435780</v>
      </c>
      <c r="N1298" s="75" t="s">
        <v>18</v>
      </c>
      <c r="O1298" s="75" t="s">
        <v>54</v>
      </c>
      <c r="P1298" s="134" t="str">
        <f>IF(AND('331-CT'!$E$7=TH!H1298,OR(N1298="331",O1298="331")),"x","")</f>
        <v/>
      </c>
    </row>
    <row r="1299" spans="1:16" ht="18" hidden="1" customHeight="1">
      <c r="A1299" s="72">
        <f t="shared" si="53"/>
        <v>2016</v>
      </c>
      <c r="B1299" s="72">
        <f t="shared" si="54"/>
        <v>3</v>
      </c>
      <c r="C1299" s="73">
        <v>42430</v>
      </c>
      <c r="D1299" s="73" t="s">
        <v>17</v>
      </c>
      <c r="E1299" s="73">
        <v>42430</v>
      </c>
      <c r="F1299" s="76" t="s">
        <v>34</v>
      </c>
      <c r="G1299" s="265" t="s">
        <v>1242</v>
      </c>
      <c r="H1299" s="122"/>
      <c r="I1299" s="122"/>
      <c r="J1299" s="122"/>
      <c r="K1299" s="122"/>
      <c r="L1299" s="122"/>
      <c r="M1299" s="74">
        <v>45000</v>
      </c>
      <c r="N1299" s="75" t="s">
        <v>241</v>
      </c>
      <c r="O1299" s="75" t="s">
        <v>54</v>
      </c>
      <c r="P1299" s="134" t="str">
        <f>IF(AND('331-CT'!$E$7=TH!H1299,OR(N1299="331",O1299="331")),"x","")</f>
        <v/>
      </c>
    </row>
    <row r="1300" spans="1:16" ht="18" hidden="1" customHeight="1">
      <c r="A1300" s="72">
        <f t="shared" si="53"/>
        <v>2016</v>
      </c>
      <c r="B1300" s="72">
        <f t="shared" si="54"/>
        <v>3</v>
      </c>
      <c r="C1300" s="73">
        <v>42430</v>
      </c>
      <c r="D1300" s="73" t="s">
        <v>17</v>
      </c>
      <c r="E1300" s="73">
        <v>42430</v>
      </c>
      <c r="F1300" s="76" t="s">
        <v>35</v>
      </c>
      <c r="G1300" s="265" t="s">
        <v>1242</v>
      </c>
      <c r="H1300" s="122"/>
      <c r="I1300" s="122"/>
      <c r="J1300" s="122"/>
      <c r="K1300" s="122"/>
      <c r="L1300" s="122"/>
      <c r="M1300" s="74">
        <v>4500</v>
      </c>
      <c r="N1300" s="75" t="s">
        <v>19</v>
      </c>
      <c r="O1300" s="75" t="s">
        <v>54</v>
      </c>
      <c r="P1300" s="134" t="str">
        <f>IF(AND('331-CT'!$E$7=TH!H1300,OR(N1300="331",O1300="331")),"x","")</f>
        <v/>
      </c>
    </row>
    <row r="1301" spans="1:16" ht="18" hidden="1" customHeight="1">
      <c r="A1301" s="72">
        <f t="shared" si="53"/>
        <v>2016</v>
      </c>
      <c r="B1301" s="72">
        <f t="shared" si="54"/>
        <v>3</v>
      </c>
      <c r="C1301" s="73">
        <v>42432</v>
      </c>
      <c r="D1301" s="73" t="s">
        <v>17</v>
      </c>
      <c r="E1301" s="73">
        <v>42432</v>
      </c>
      <c r="F1301" s="76" t="s">
        <v>1249</v>
      </c>
      <c r="G1301" s="265" t="s">
        <v>1242</v>
      </c>
      <c r="H1301" s="122"/>
      <c r="I1301" s="122"/>
      <c r="J1301" s="122"/>
      <c r="K1301" s="122"/>
      <c r="L1301" s="122"/>
      <c r="M1301" s="74">
        <v>10000</v>
      </c>
      <c r="N1301" s="75" t="s">
        <v>241</v>
      </c>
      <c r="O1301" s="75" t="s">
        <v>54</v>
      </c>
      <c r="P1301" s="134" t="str">
        <f>IF(AND('331-CT'!$E$7=TH!H1301,OR(N1301="331",O1301="331")),"x","")</f>
        <v/>
      </c>
    </row>
    <row r="1302" spans="1:16" ht="18" hidden="1" customHeight="1">
      <c r="A1302" s="72">
        <f t="shared" si="53"/>
        <v>2016</v>
      </c>
      <c r="B1302" s="72">
        <f t="shared" si="54"/>
        <v>3</v>
      </c>
      <c r="C1302" s="73">
        <v>42432</v>
      </c>
      <c r="D1302" s="73" t="s">
        <v>17</v>
      </c>
      <c r="E1302" s="73">
        <v>42432</v>
      </c>
      <c r="F1302" s="76" t="s">
        <v>1250</v>
      </c>
      <c r="G1302" s="265" t="s">
        <v>1242</v>
      </c>
      <c r="H1302" s="122"/>
      <c r="I1302" s="122"/>
      <c r="J1302" s="122"/>
      <c r="K1302" s="122"/>
      <c r="L1302" s="122"/>
      <c r="M1302" s="74">
        <v>1000</v>
      </c>
      <c r="N1302" s="75" t="s">
        <v>19</v>
      </c>
      <c r="O1302" s="75" t="s">
        <v>54</v>
      </c>
      <c r="P1302" s="134" t="str">
        <f>IF(AND('331-CT'!$E$7=TH!H1302,OR(N1302="331",O1302="331")),"x","")</f>
        <v/>
      </c>
    </row>
    <row r="1303" spans="1:16" ht="18" hidden="1" customHeight="1">
      <c r="A1303" s="72">
        <f t="shared" si="53"/>
        <v>2016</v>
      </c>
      <c r="B1303" s="72">
        <f t="shared" si="54"/>
        <v>3</v>
      </c>
      <c r="C1303" s="73">
        <v>42436</v>
      </c>
      <c r="D1303" s="73" t="s">
        <v>508</v>
      </c>
      <c r="E1303" s="73">
        <v>42436</v>
      </c>
      <c r="F1303" s="76" t="s">
        <v>1251</v>
      </c>
      <c r="G1303" s="265" t="s">
        <v>1252</v>
      </c>
      <c r="H1303" s="122" t="s">
        <v>846</v>
      </c>
      <c r="I1303" s="122"/>
      <c r="J1303" s="122"/>
      <c r="K1303" s="122"/>
      <c r="L1303" s="122"/>
      <c r="M1303" s="74">
        <v>330000</v>
      </c>
      <c r="N1303" s="75" t="s">
        <v>654</v>
      </c>
      <c r="O1303" s="75" t="s">
        <v>203</v>
      </c>
      <c r="P1303" s="134" t="str">
        <f>IF(AND('331-CT'!$E$7=TH!H1303,OR(N1303="331",O1303="331")),"x","")</f>
        <v/>
      </c>
    </row>
    <row r="1304" spans="1:16" ht="18" hidden="1" customHeight="1">
      <c r="A1304" s="72">
        <f t="shared" si="53"/>
        <v>2016</v>
      </c>
      <c r="B1304" s="72">
        <f t="shared" si="54"/>
        <v>3</v>
      </c>
      <c r="C1304" s="73">
        <v>42436</v>
      </c>
      <c r="D1304" s="73" t="s">
        <v>509</v>
      </c>
      <c r="E1304" s="73">
        <v>42436</v>
      </c>
      <c r="F1304" s="76" t="s">
        <v>1186</v>
      </c>
      <c r="G1304" s="265" t="s">
        <v>1253</v>
      </c>
      <c r="H1304" s="122" t="s">
        <v>828</v>
      </c>
      <c r="I1304" s="122"/>
      <c r="J1304" s="122"/>
      <c r="K1304" s="122"/>
      <c r="L1304" s="122"/>
      <c r="M1304" s="74">
        <v>2810000</v>
      </c>
      <c r="N1304" s="75" t="s">
        <v>654</v>
      </c>
      <c r="O1304" s="75" t="s">
        <v>203</v>
      </c>
      <c r="P1304" s="134" t="str">
        <f>IF(AND('331-CT'!$E$7=TH!H1304,OR(N1304="331",O1304="331")),"x","")</f>
        <v/>
      </c>
    </row>
    <row r="1305" spans="1:16" ht="18" hidden="1" customHeight="1">
      <c r="A1305" s="72">
        <f t="shared" si="53"/>
        <v>2016</v>
      </c>
      <c r="B1305" s="72">
        <f t="shared" si="54"/>
        <v>3</v>
      </c>
      <c r="C1305" s="73">
        <v>42439</v>
      </c>
      <c r="D1305" s="73" t="s">
        <v>510</v>
      </c>
      <c r="E1305" s="73">
        <v>42439</v>
      </c>
      <c r="F1305" s="76" t="s">
        <v>1254</v>
      </c>
      <c r="G1305" s="265" t="s">
        <v>1255</v>
      </c>
      <c r="H1305" s="122" t="s">
        <v>782</v>
      </c>
      <c r="I1305" s="122"/>
      <c r="J1305" s="122"/>
      <c r="K1305" s="122"/>
      <c r="L1305" s="122"/>
      <c r="M1305" s="74">
        <v>6818182</v>
      </c>
      <c r="N1305" s="75" t="s">
        <v>241</v>
      </c>
      <c r="O1305" s="75" t="s">
        <v>203</v>
      </c>
      <c r="P1305" s="134" t="str">
        <f>IF(AND('331-CT'!$E$7=TH!H1305,OR(N1305="331",O1305="331")),"x","")</f>
        <v/>
      </c>
    </row>
    <row r="1306" spans="1:16" ht="18" hidden="1" customHeight="1">
      <c r="A1306" s="72">
        <f t="shared" si="53"/>
        <v>2016</v>
      </c>
      <c r="B1306" s="72">
        <f t="shared" si="54"/>
        <v>3</v>
      </c>
      <c r="C1306" s="73">
        <v>42439</v>
      </c>
      <c r="D1306" s="73" t="s">
        <v>510</v>
      </c>
      <c r="E1306" s="73">
        <v>42439</v>
      </c>
      <c r="F1306" s="76" t="s">
        <v>1256</v>
      </c>
      <c r="G1306" s="265" t="s">
        <v>1255</v>
      </c>
      <c r="H1306" s="122" t="s">
        <v>782</v>
      </c>
      <c r="I1306" s="122"/>
      <c r="J1306" s="122"/>
      <c r="K1306" s="122"/>
      <c r="L1306" s="122"/>
      <c r="M1306" s="74">
        <v>681818</v>
      </c>
      <c r="N1306" s="75" t="s">
        <v>19</v>
      </c>
      <c r="O1306" s="75" t="s">
        <v>203</v>
      </c>
      <c r="P1306" s="134" t="str">
        <f>IF(AND('331-CT'!$E$7=TH!H1306,OR(N1306="331",O1306="331")),"x","")</f>
        <v/>
      </c>
    </row>
    <row r="1307" spans="1:16" ht="18" hidden="1" customHeight="1">
      <c r="A1307" s="72">
        <f t="shared" si="53"/>
        <v>2016</v>
      </c>
      <c r="B1307" s="72">
        <f t="shared" si="54"/>
        <v>3</v>
      </c>
      <c r="C1307" s="73">
        <v>42441</v>
      </c>
      <c r="D1307" s="73" t="s">
        <v>1257</v>
      </c>
      <c r="E1307" s="73">
        <v>42441</v>
      </c>
      <c r="F1307" s="76" t="s">
        <v>1258</v>
      </c>
      <c r="G1307" s="265" t="s">
        <v>1259</v>
      </c>
      <c r="H1307" s="122" t="s">
        <v>1260</v>
      </c>
      <c r="I1307" s="122">
        <v>500</v>
      </c>
      <c r="J1307" s="122">
        <v>33000</v>
      </c>
      <c r="K1307" s="122"/>
      <c r="L1307" s="122"/>
      <c r="M1307" s="74">
        <v>16500000</v>
      </c>
      <c r="N1307" s="75" t="s">
        <v>1261</v>
      </c>
      <c r="O1307" s="75" t="s">
        <v>18</v>
      </c>
      <c r="P1307" s="134" t="str">
        <f>IF(AND('331-CT'!$E$7=TH!H1307,OR(N1307="331",O1307="331")),"x","")</f>
        <v/>
      </c>
    </row>
    <row r="1308" spans="1:16" ht="18" hidden="1" customHeight="1">
      <c r="A1308" s="72">
        <f t="shared" si="53"/>
        <v>2016</v>
      </c>
      <c r="B1308" s="72">
        <f t="shared" si="54"/>
        <v>3</v>
      </c>
      <c r="C1308" s="73">
        <v>42441</v>
      </c>
      <c r="D1308" s="73" t="s">
        <v>1257</v>
      </c>
      <c r="E1308" s="73">
        <v>42441</v>
      </c>
      <c r="F1308" s="76" t="s">
        <v>1262</v>
      </c>
      <c r="G1308" s="265" t="s">
        <v>1259</v>
      </c>
      <c r="H1308" s="122" t="s">
        <v>1260</v>
      </c>
      <c r="I1308" s="122">
        <v>500</v>
      </c>
      <c r="J1308" s="122">
        <v>33000</v>
      </c>
      <c r="K1308" s="122"/>
      <c r="L1308" s="122"/>
      <c r="M1308" s="74">
        <v>16500000</v>
      </c>
      <c r="N1308" s="75" t="s">
        <v>1261</v>
      </c>
      <c r="O1308" s="75" t="s">
        <v>18</v>
      </c>
      <c r="P1308" s="134" t="str">
        <f>IF(AND('331-CT'!$E$7=TH!H1308,OR(N1308="331",O1308="331")),"x","")</f>
        <v/>
      </c>
    </row>
    <row r="1309" spans="1:16" ht="18" hidden="1" customHeight="1">
      <c r="A1309" s="72">
        <f t="shared" si="53"/>
        <v>2016</v>
      </c>
      <c r="B1309" s="72">
        <f t="shared" si="54"/>
        <v>3</v>
      </c>
      <c r="C1309" s="73">
        <v>42441</v>
      </c>
      <c r="D1309" s="73" t="s">
        <v>1257</v>
      </c>
      <c r="E1309" s="73">
        <v>42441</v>
      </c>
      <c r="F1309" s="76" t="s">
        <v>1263</v>
      </c>
      <c r="G1309" s="265" t="s">
        <v>1259</v>
      </c>
      <c r="H1309" s="122" t="s">
        <v>1260</v>
      </c>
      <c r="I1309" s="122"/>
      <c r="J1309" s="122"/>
      <c r="K1309" s="122"/>
      <c r="L1309" s="122"/>
      <c r="M1309" s="74">
        <v>3300000</v>
      </c>
      <c r="N1309" s="75" t="s">
        <v>19</v>
      </c>
      <c r="O1309" s="75" t="s">
        <v>18</v>
      </c>
      <c r="P1309" s="134" t="str">
        <f>IF(AND('331-CT'!$E$7=TH!H1309,OR(N1309="331",O1309="331")),"x","")</f>
        <v/>
      </c>
    </row>
    <row r="1310" spans="1:16" ht="18" hidden="1" customHeight="1">
      <c r="A1310" s="72">
        <f t="shared" si="53"/>
        <v>2016</v>
      </c>
      <c r="B1310" s="72">
        <f t="shared" si="54"/>
        <v>3</v>
      </c>
      <c r="C1310" s="73">
        <v>42444</v>
      </c>
      <c r="D1310" s="73" t="s">
        <v>761</v>
      </c>
      <c r="E1310" s="73">
        <v>42444</v>
      </c>
      <c r="F1310" s="76" t="s">
        <v>1224</v>
      </c>
      <c r="G1310" s="265" t="s">
        <v>1264</v>
      </c>
      <c r="H1310" s="122" t="s">
        <v>279</v>
      </c>
      <c r="I1310" s="122"/>
      <c r="J1310" s="122"/>
      <c r="K1310" s="122"/>
      <c r="L1310" s="122"/>
      <c r="M1310" s="74">
        <v>429415</v>
      </c>
      <c r="N1310" s="75" t="s">
        <v>241</v>
      </c>
      <c r="O1310" s="75" t="s">
        <v>203</v>
      </c>
      <c r="P1310" s="134" t="str">
        <f>IF(AND('331-CT'!$E$7=TH!H1310,OR(N1310="331",O1310="331")),"x","")</f>
        <v/>
      </c>
    </row>
    <row r="1311" spans="1:16" ht="18" hidden="1" customHeight="1">
      <c r="A1311" s="72">
        <f t="shared" si="53"/>
        <v>2016</v>
      </c>
      <c r="B1311" s="72">
        <f t="shared" si="54"/>
        <v>3</v>
      </c>
      <c r="C1311" s="73">
        <v>42444</v>
      </c>
      <c r="D1311" s="73" t="s">
        <v>761</v>
      </c>
      <c r="E1311" s="73">
        <v>42444</v>
      </c>
      <c r="F1311" s="76" t="s">
        <v>1226</v>
      </c>
      <c r="G1311" s="265" t="s">
        <v>1264</v>
      </c>
      <c r="H1311" s="122" t="s">
        <v>279</v>
      </c>
      <c r="I1311" s="122"/>
      <c r="J1311" s="122"/>
      <c r="K1311" s="122"/>
      <c r="L1311" s="122"/>
      <c r="M1311" s="74">
        <v>42942</v>
      </c>
      <c r="N1311" s="75" t="s">
        <v>19</v>
      </c>
      <c r="O1311" s="75" t="s">
        <v>203</v>
      </c>
      <c r="P1311" s="134" t="str">
        <f>IF(AND('331-CT'!$E$7=TH!H1311,OR(N1311="331",O1311="331")),"x","")</f>
        <v/>
      </c>
    </row>
    <row r="1312" spans="1:16" ht="18" hidden="1" customHeight="1">
      <c r="A1312" s="72">
        <f t="shared" si="53"/>
        <v>2016</v>
      </c>
      <c r="B1312" s="72">
        <f t="shared" si="54"/>
        <v>3</v>
      </c>
      <c r="C1312" s="73">
        <v>42444</v>
      </c>
      <c r="D1312" s="73" t="s">
        <v>762</v>
      </c>
      <c r="E1312" s="73">
        <v>42444</v>
      </c>
      <c r="F1312" s="76" t="s">
        <v>826</v>
      </c>
      <c r="G1312" s="265" t="s">
        <v>1265</v>
      </c>
      <c r="H1312" s="122" t="s">
        <v>846</v>
      </c>
      <c r="I1312" s="122"/>
      <c r="J1312" s="122"/>
      <c r="K1312" s="122"/>
      <c r="L1312" s="122"/>
      <c r="M1312" s="74">
        <v>348000</v>
      </c>
      <c r="N1312" s="75" t="s">
        <v>654</v>
      </c>
      <c r="O1312" s="75" t="s">
        <v>203</v>
      </c>
      <c r="P1312" s="134" t="str">
        <f>IF(AND('331-CT'!$E$7=TH!H1312,OR(N1312="331",O1312="331")),"x","")</f>
        <v/>
      </c>
    </row>
    <row r="1313" spans="1:16" ht="18" hidden="1" customHeight="1">
      <c r="A1313" s="72">
        <f t="shared" si="53"/>
        <v>2016</v>
      </c>
      <c r="B1313" s="72">
        <f t="shared" si="54"/>
        <v>3</v>
      </c>
      <c r="C1313" s="73">
        <v>42444</v>
      </c>
      <c r="D1313" s="73" t="s">
        <v>1054</v>
      </c>
      <c r="E1313" s="73">
        <v>42444</v>
      </c>
      <c r="F1313" s="76" t="s">
        <v>1266</v>
      </c>
      <c r="G1313" s="265"/>
      <c r="H1313" s="122" t="s">
        <v>430</v>
      </c>
      <c r="I1313" s="122"/>
      <c r="J1313" s="122"/>
      <c r="K1313" s="122"/>
      <c r="L1313" s="122"/>
      <c r="M1313" s="74">
        <v>1000000000</v>
      </c>
      <c r="N1313" s="75" t="s">
        <v>203</v>
      </c>
      <c r="O1313" s="75" t="s">
        <v>39</v>
      </c>
      <c r="P1313" s="134" t="str">
        <f>IF(AND('331-CT'!$E$7=TH!H1313,OR(N1313="331",O1313="331")),"x","")</f>
        <v/>
      </c>
    </row>
    <row r="1314" spans="1:16" ht="18" hidden="1" customHeight="1">
      <c r="A1314" s="72">
        <f t="shared" si="53"/>
        <v>2016</v>
      </c>
      <c r="B1314" s="72">
        <f t="shared" si="54"/>
        <v>3</v>
      </c>
      <c r="C1314" s="73">
        <v>42444</v>
      </c>
      <c r="D1314" s="73" t="s">
        <v>763</v>
      </c>
      <c r="E1314" s="73">
        <v>42444</v>
      </c>
      <c r="F1314" s="76" t="s">
        <v>1195</v>
      </c>
      <c r="G1314" s="265" t="s">
        <v>1242</v>
      </c>
      <c r="H1314" s="122" t="s">
        <v>271</v>
      </c>
      <c r="I1314" s="122"/>
      <c r="J1314" s="122"/>
      <c r="K1314" s="122"/>
      <c r="L1314" s="122"/>
      <c r="M1314" s="74">
        <v>380000000</v>
      </c>
      <c r="N1314" s="75" t="s">
        <v>54</v>
      </c>
      <c r="O1314" s="75" t="s">
        <v>203</v>
      </c>
      <c r="P1314" s="134" t="str">
        <f>IF(AND('331-CT'!$E$7=TH!H1314,OR(N1314="331",O1314="331")),"x","")</f>
        <v/>
      </c>
    </row>
    <row r="1315" spans="1:16" ht="18" hidden="1" customHeight="1">
      <c r="A1315" s="72">
        <f t="shared" si="53"/>
        <v>2016</v>
      </c>
      <c r="B1315" s="72">
        <f t="shared" si="54"/>
        <v>3</v>
      </c>
      <c r="C1315" s="73">
        <v>42444</v>
      </c>
      <c r="D1315" s="73" t="s">
        <v>17</v>
      </c>
      <c r="E1315" s="73">
        <v>42444</v>
      </c>
      <c r="F1315" s="76" t="s">
        <v>1194</v>
      </c>
      <c r="G1315" s="265" t="s">
        <v>1242</v>
      </c>
      <c r="H1315" s="122" t="s">
        <v>1058</v>
      </c>
      <c r="I1315" s="122"/>
      <c r="J1315" s="122"/>
      <c r="K1315" s="122"/>
      <c r="L1315" s="122"/>
      <c r="M1315" s="74">
        <v>6331895</v>
      </c>
      <c r="N1315" s="75" t="s">
        <v>239</v>
      </c>
      <c r="O1315" s="75" t="s">
        <v>54</v>
      </c>
      <c r="P1315" s="134" t="str">
        <f>IF(AND('331-CT'!$E$7=TH!H1315,OR(N1315="331",O1315="331")),"x","")</f>
        <v/>
      </c>
    </row>
    <row r="1316" spans="1:16" ht="18" hidden="1" customHeight="1">
      <c r="A1316" s="72">
        <f t="shared" si="53"/>
        <v>2016</v>
      </c>
      <c r="B1316" s="72">
        <f t="shared" si="54"/>
        <v>3</v>
      </c>
      <c r="C1316" s="73">
        <v>42445</v>
      </c>
      <c r="D1316" s="73" t="s">
        <v>17</v>
      </c>
      <c r="E1316" s="73">
        <v>42445</v>
      </c>
      <c r="F1316" s="76" t="s">
        <v>1267</v>
      </c>
      <c r="G1316" s="265" t="s">
        <v>1242</v>
      </c>
      <c r="H1316" s="122" t="s">
        <v>83</v>
      </c>
      <c r="I1316" s="122"/>
      <c r="J1316" s="122"/>
      <c r="K1316" s="122"/>
      <c r="L1316" s="122"/>
      <c r="M1316" s="74">
        <v>34408000</v>
      </c>
      <c r="N1316" s="75" t="s">
        <v>18</v>
      </c>
      <c r="O1316" s="75" t="s">
        <v>54</v>
      </c>
      <c r="P1316" s="134" t="str">
        <f>IF(AND('331-CT'!$E$7=TH!H1316,OR(N1316="331",O1316="331")),"x","")</f>
        <v/>
      </c>
    </row>
    <row r="1317" spans="1:16" ht="18" hidden="1" customHeight="1">
      <c r="A1317" s="72">
        <f t="shared" si="53"/>
        <v>2016</v>
      </c>
      <c r="B1317" s="72">
        <f t="shared" si="54"/>
        <v>3</v>
      </c>
      <c r="C1317" s="73">
        <v>42445</v>
      </c>
      <c r="D1317" s="73" t="s">
        <v>17</v>
      </c>
      <c r="E1317" s="73">
        <v>42445</v>
      </c>
      <c r="F1317" s="76" t="s">
        <v>34</v>
      </c>
      <c r="G1317" s="265" t="s">
        <v>1242</v>
      </c>
      <c r="H1317" s="122"/>
      <c r="I1317" s="122"/>
      <c r="J1317" s="122"/>
      <c r="K1317" s="122"/>
      <c r="L1317" s="122"/>
      <c r="M1317" s="74">
        <v>25000</v>
      </c>
      <c r="N1317" s="75" t="s">
        <v>241</v>
      </c>
      <c r="O1317" s="75" t="s">
        <v>54</v>
      </c>
      <c r="P1317" s="134" t="str">
        <f>IF(AND('331-CT'!$E$7=TH!H1317,OR(N1317="331",O1317="331")),"x","")</f>
        <v/>
      </c>
    </row>
    <row r="1318" spans="1:16" ht="18" hidden="1" customHeight="1">
      <c r="A1318" s="72">
        <f t="shared" si="53"/>
        <v>2016</v>
      </c>
      <c r="B1318" s="72">
        <f t="shared" si="54"/>
        <v>3</v>
      </c>
      <c r="C1318" s="73">
        <v>42445</v>
      </c>
      <c r="D1318" s="73" t="s">
        <v>17</v>
      </c>
      <c r="E1318" s="73">
        <v>42445</v>
      </c>
      <c r="F1318" s="76" t="s">
        <v>35</v>
      </c>
      <c r="G1318" s="265" t="s">
        <v>1242</v>
      </c>
      <c r="H1318" s="122"/>
      <c r="I1318" s="122"/>
      <c r="J1318" s="122"/>
      <c r="K1318" s="122"/>
      <c r="L1318" s="122"/>
      <c r="M1318" s="74">
        <v>2500</v>
      </c>
      <c r="N1318" s="75" t="s">
        <v>19</v>
      </c>
      <c r="O1318" s="75" t="s">
        <v>54</v>
      </c>
      <c r="P1318" s="134" t="str">
        <f>IF(AND('331-CT'!$E$7=TH!H1318,OR(N1318="331",O1318="331")),"x","")</f>
        <v/>
      </c>
    </row>
    <row r="1319" spans="1:16" ht="18" hidden="1" customHeight="1">
      <c r="A1319" s="72">
        <f t="shared" si="53"/>
        <v>2016</v>
      </c>
      <c r="B1319" s="72">
        <f t="shared" si="54"/>
        <v>3</v>
      </c>
      <c r="C1319" s="73">
        <v>42445</v>
      </c>
      <c r="D1319" s="73" t="s">
        <v>17</v>
      </c>
      <c r="E1319" s="73">
        <v>42445</v>
      </c>
      <c r="F1319" s="76" t="s">
        <v>23</v>
      </c>
      <c r="G1319" s="265" t="s">
        <v>1242</v>
      </c>
      <c r="H1319" s="122"/>
      <c r="I1319" s="122"/>
      <c r="J1319" s="122"/>
      <c r="K1319" s="122"/>
      <c r="L1319" s="122"/>
      <c r="M1319" s="74">
        <v>20000</v>
      </c>
      <c r="N1319" s="75" t="s">
        <v>241</v>
      </c>
      <c r="O1319" s="75" t="s">
        <v>54</v>
      </c>
      <c r="P1319" s="134" t="str">
        <f>IF(AND('331-CT'!$E$7=TH!H1319,OR(N1319="331",O1319="331")),"x","")</f>
        <v/>
      </c>
    </row>
    <row r="1320" spans="1:16" ht="18" hidden="1" customHeight="1">
      <c r="A1320" s="72">
        <f t="shared" si="53"/>
        <v>2016</v>
      </c>
      <c r="B1320" s="72">
        <f t="shared" si="54"/>
        <v>3</v>
      </c>
      <c r="C1320" s="73">
        <v>42445</v>
      </c>
      <c r="D1320" s="73" t="s">
        <v>17</v>
      </c>
      <c r="E1320" s="73">
        <v>42445</v>
      </c>
      <c r="F1320" s="76" t="s">
        <v>24</v>
      </c>
      <c r="G1320" s="265" t="s">
        <v>1242</v>
      </c>
      <c r="H1320" s="122"/>
      <c r="I1320" s="122"/>
      <c r="J1320" s="122"/>
      <c r="K1320" s="122"/>
      <c r="L1320" s="122"/>
      <c r="M1320" s="74">
        <v>2000</v>
      </c>
      <c r="N1320" s="75" t="s">
        <v>19</v>
      </c>
      <c r="O1320" s="75" t="s">
        <v>54</v>
      </c>
      <c r="P1320" s="134" t="str">
        <f>IF(AND('331-CT'!$E$7=TH!H1320,OR(N1320="331",O1320="331")),"x","")</f>
        <v/>
      </c>
    </row>
    <row r="1321" spans="1:16" ht="18" hidden="1" customHeight="1">
      <c r="A1321" s="72">
        <f t="shared" si="53"/>
        <v>2016</v>
      </c>
      <c r="B1321" s="72">
        <f t="shared" si="54"/>
        <v>3</v>
      </c>
      <c r="C1321" s="73">
        <v>42445</v>
      </c>
      <c r="D1321" s="73" t="s">
        <v>17</v>
      </c>
      <c r="E1321" s="73">
        <v>42445</v>
      </c>
      <c r="F1321" s="76" t="s">
        <v>839</v>
      </c>
      <c r="G1321" s="265" t="s">
        <v>1242</v>
      </c>
      <c r="H1321" s="122" t="s">
        <v>741</v>
      </c>
      <c r="I1321" s="122"/>
      <c r="J1321" s="122"/>
      <c r="K1321" s="122"/>
      <c r="L1321" s="122"/>
      <c r="M1321" s="74">
        <v>11539968</v>
      </c>
      <c r="N1321" s="75" t="s">
        <v>18</v>
      </c>
      <c r="O1321" s="75" t="s">
        <v>54</v>
      </c>
      <c r="P1321" s="134" t="str">
        <f>IF(AND('331-CT'!$E$7=TH!H1321,OR(N1321="331",O1321="331")),"x","")</f>
        <v/>
      </c>
    </row>
    <row r="1322" spans="1:16" ht="18" hidden="1" customHeight="1">
      <c r="A1322" s="72">
        <f t="shared" si="53"/>
        <v>2016</v>
      </c>
      <c r="B1322" s="72">
        <f t="shared" si="54"/>
        <v>3</v>
      </c>
      <c r="C1322" s="73">
        <v>42445</v>
      </c>
      <c r="D1322" s="73" t="s">
        <v>17</v>
      </c>
      <c r="E1322" s="73">
        <v>42445</v>
      </c>
      <c r="F1322" s="76" t="s">
        <v>34</v>
      </c>
      <c r="G1322" s="265" t="s">
        <v>1242</v>
      </c>
      <c r="H1322" s="122"/>
      <c r="I1322" s="122"/>
      <c r="J1322" s="122"/>
      <c r="K1322" s="122"/>
      <c r="L1322" s="122"/>
      <c r="M1322" s="74">
        <v>25000</v>
      </c>
      <c r="N1322" s="75" t="s">
        <v>241</v>
      </c>
      <c r="O1322" s="75" t="s">
        <v>54</v>
      </c>
      <c r="P1322" s="134" t="str">
        <f>IF(AND('331-CT'!$E$7=TH!H1322,OR(N1322="331",O1322="331")),"x","")</f>
        <v/>
      </c>
    </row>
    <row r="1323" spans="1:16" ht="18" hidden="1" customHeight="1">
      <c r="A1323" s="72">
        <f t="shared" si="53"/>
        <v>2016</v>
      </c>
      <c r="B1323" s="72">
        <f t="shared" si="54"/>
        <v>3</v>
      </c>
      <c r="C1323" s="73">
        <v>42445</v>
      </c>
      <c r="D1323" s="73" t="s">
        <v>17</v>
      </c>
      <c r="E1323" s="73">
        <v>42445</v>
      </c>
      <c r="F1323" s="76" t="s">
        <v>35</v>
      </c>
      <c r="G1323" s="265" t="s">
        <v>1242</v>
      </c>
      <c r="H1323" s="122"/>
      <c r="I1323" s="122"/>
      <c r="J1323" s="122"/>
      <c r="K1323" s="122"/>
      <c r="L1323" s="122"/>
      <c r="M1323" s="74">
        <v>2500</v>
      </c>
      <c r="N1323" s="75" t="s">
        <v>19</v>
      </c>
      <c r="O1323" s="75" t="s">
        <v>54</v>
      </c>
      <c r="P1323" s="134" t="str">
        <f>IF(AND('331-CT'!$E$7=TH!H1323,OR(N1323="331",O1323="331")),"x","")</f>
        <v/>
      </c>
    </row>
    <row r="1324" spans="1:16" ht="18" hidden="1" customHeight="1">
      <c r="A1324" s="72">
        <f t="shared" si="53"/>
        <v>2016</v>
      </c>
      <c r="B1324" s="72">
        <f t="shared" si="54"/>
        <v>3</v>
      </c>
      <c r="C1324" s="73">
        <v>42445</v>
      </c>
      <c r="D1324" s="73" t="s">
        <v>17</v>
      </c>
      <c r="E1324" s="73">
        <v>42445</v>
      </c>
      <c r="F1324" s="76" t="s">
        <v>23</v>
      </c>
      <c r="G1324" s="265" t="s">
        <v>1242</v>
      </c>
      <c r="H1324" s="122"/>
      <c r="I1324" s="122"/>
      <c r="J1324" s="122"/>
      <c r="K1324" s="122"/>
      <c r="L1324" s="122"/>
      <c r="M1324" s="74">
        <v>20000</v>
      </c>
      <c r="N1324" s="75" t="s">
        <v>241</v>
      </c>
      <c r="O1324" s="75" t="s">
        <v>54</v>
      </c>
      <c r="P1324" s="134" t="str">
        <f>IF(AND('331-CT'!$E$7=TH!H1324,OR(N1324="331",O1324="331")),"x","")</f>
        <v/>
      </c>
    </row>
    <row r="1325" spans="1:16" ht="18" hidden="1" customHeight="1">
      <c r="A1325" s="72">
        <f t="shared" si="53"/>
        <v>2016</v>
      </c>
      <c r="B1325" s="72">
        <f t="shared" si="54"/>
        <v>3</v>
      </c>
      <c r="C1325" s="73">
        <v>42445</v>
      </c>
      <c r="D1325" s="73" t="s">
        <v>17</v>
      </c>
      <c r="E1325" s="73">
        <v>42445</v>
      </c>
      <c r="F1325" s="76" t="s">
        <v>24</v>
      </c>
      <c r="G1325" s="265" t="s">
        <v>1242</v>
      </c>
      <c r="H1325" s="122"/>
      <c r="I1325" s="122"/>
      <c r="J1325" s="122"/>
      <c r="K1325" s="122"/>
      <c r="L1325" s="122"/>
      <c r="M1325" s="74">
        <v>2000</v>
      </c>
      <c r="N1325" s="75" t="s">
        <v>19</v>
      </c>
      <c r="O1325" s="75" t="s">
        <v>54</v>
      </c>
      <c r="P1325" s="134" t="str">
        <f>IF(AND('331-CT'!$E$7=TH!H1325,OR(N1325="331",O1325="331")),"x","")</f>
        <v/>
      </c>
    </row>
    <row r="1326" spans="1:16" ht="18" hidden="1" customHeight="1">
      <c r="A1326" s="72">
        <f t="shared" si="53"/>
        <v>2016</v>
      </c>
      <c r="B1326" s="72">
        <f t="shared" si="54"/>
        <v>3</v>
      </c>
      <c r="C1326" s="73">
        <v>42445</v>
      </c>
      <c r="D1326" s="73" t="s">
        <v>17</v>
      </c>
      <c r="E1326" s="73">
        <v>42445</v>
      </c>
      <c r="F1326" s="76" t="s">
        <v>1268</v>
      </c>
      <c r="G1326" s="265" t="s">
        <v>1242</v>
      </c>
      <c r="H1326" s="122" t="s">
        <v>648</v>
      </c>
      <c r="I1326" s="122"/>
      <c r="J1326" s="122"/>
      <c r="K1326" s="122"/>
      <c r="L1326" s="122"/>
      <c r="M1326" s="74">
        <v>32387300</v>
      </c>
      <c r="N1326" s="75" t="s">
        <v>18</v>
      </c>
      <c r="O1326" s="75" t="s">
        <v>54</v>
      </c>
      <c r="P1326" s="134" t="str">
        <f>IF(AND('331-CT'!$E$7=TH!H1326,OR(N1326="331",O1326="331")),"x","")</f>
        <v/>
      </c>
    </row>
    <row r="1327" spans="1:16" ht="18" hidden="1" customHeight="1">
      <c r="A1327" s="72">
        <f t="shared" si="53"/>
        <v>2016</v>
      </c>
      <c r="B1327" s="72">
        <f t="shared" si="54"/>
        <v>3</v>
      </c>
      <c r="C1327" s="73">
        <v>42445</v>
      </c>
      <c r="D1327" s="73" t="s">
        <v>17</v>
      </c>
      <c r="E1327" s="73">
        <v>42445</v>
      </c>
      <c r="F1327" s="76" t="s">
        <v>34</v>
      </c>
      <c r="G1327" s="265" t="s">
        <v>1242</v>
      </c>
      <c r="H1327" s="122"/>
      <c r="I1327" s="122"/>
      <c r="J1327" s="122"/>
      <c r="K1327" s="122"/>
      <c r="L1327" s="122"/>
      <c r="M1327" s="74">
        <v>25000</v>
      </c>
      <c r="N1327" s="75" t="s">
        <v>241</v>
      </c>
      <c r="O1327" s="75" t="s">
        <v>54</v>
      </c>
      <c r="P1327" s="134" t="str">
        <f>IF(AND('331-CT'!$E$7=TH!H1327,OR(N1327="331",O1327="331")),"x","")</f>
        <v/>
      </c>
    </row>
    <row r="1328" spans="1:16" ht="18" hidden="1" customHeight="1">
      <c r="A1328" s="72">
        <f t="shared" si="53"/>
        <v>2016</v>
      </c>
      <c r="B1328" s="72">
        <f t="shared" si="54"/>
        <v>3</v>
      </c>
      <c r="C1328" s="73">
        <v>42445</v>
      </c>
      <c r="D1328" s="73" t="s">
        <v>17</v>
      </c>
      <c r="E1328" s="73">
        <v>42445</v>
      </c>
      <c r="F1328" s="76" t="s">
        <v>35</v>
      </c>
      <c r="G1328" s="265" t="s">
        <v>1242</v>
      </c>
      <c r="H1328" s="122"/>
      <c r="I1328" s="122"/>
      <c r="J1328" s="122"/>
      <c r="K1328" s="122"/>
      <c r="L1328" s="122"/>
      <c r="M1328" s="74">
        <v>2500</v>
      </c>
      <c r="N1328" s="75" t="s">
        <v>19</v>
      </c>
      <c r="O1328" s="75" t="s">
        <v>54</v>
      </c>
      <c r="P1328" s="134" t="str">
        <f>IF(AND('331-CT'!$E$7=TH!H1328,OR(N1328="331",O1328="331")),"x","")</f>
        <v/>
      </c>
    </row>
    <row r="1329" spans="1:16" ht="18" hidden="1" customHeight="1">
      <c r="A1329" s="72">
        <f t="shared" si="53"/>
        <v>2016</v>
      </c>
      <c r="B1329" s="72">
        <f t="shared" si="54"/>
        <v>3</v>
      </c>
      <c r="C1329" s="73">
        <v>42445</v>
      </c>
      <c r="D1329" s="73" t="s">
        <v>17</v>
      </c>
      <c r="E1329" s="73">
        <v>42445</v>
      </c>
      <c r="F1329" s="76" t="s">
        <v>23</v>
      </c>
      <c r="G1329" s="265" t="s">
        <v>1242</v>
      </c>
      <c r="H1329" s="122"/>
      <c r="I1329" s="122"/>
      <c r="J1329" s="122"/>
      <c r="K1329" s="122"/>
      <c r="L1329" s="122"/>
      <c r="M1329" s="74">
        <v>20000</v>
      </c>
      <c r="N1329" s="75" t="s">
        <v>241</v>
      </c>
      <c r="O1329" s="75" t="s">
        <v>54</v>
      </c>
      <c r="P1329" s="134" t="str">
        <f>IF(AND('331-CT'!$E$7=TH!H1329,OR(N1329="331",O1329="331")),"x","")</f>
        <v/>
      </c>
    </row>
    <row r="1330" spans="1:16" ht="18" hidden="1" customHeight="1">
      <c r="A1330" s="72">
        <f t="shared" si="53"/>
        <v>2016</v>
      </c>
      <c r="B1330" s="72">
        <f t="shared" si="54"/>
        <v>3</v>
      </c>
      <c r="C1330" s="73">
        <v>42445</v>
      </c>
      <c r="D1330" s="73" t="s">
        <v>17</v>
      </c>
      <c r="E1330" s="73">
        <v>42445</v>
      </c>
      <c r="F1330" s="76" t="s">
        <v>24</v>
      </c>
      <c r="G1330" s="265" t="s">
        <v>1242</v>
      </c>
      <c r="H1330" s="122"/>
      <c r="I1330" s="122"/>
      <c r="J1330" s="122"/>
      <c r="K1330" s="122"/>
      <c r="L1330" s="122"/>
      <c r="M1330" s="74">
        <v>2000</v>
      </c>
      <c r="N1330" s="75" t="s">
        <v>19</v>
      </c>
      <c r="O1330" s="75" t="s">
        <v>54</v>
      </c>
      <c r="P1330" s="134" t="str">
        <f>IF(AND('331-CT'!$E$7=TH!H1330,OR(N1330="331",O1330="331")),"x","")</f>
        <v/>
      </c>
    </row>
    <row r="1331" spans="1:16" ht="18" hidden="1" customHeight="1">
      <c r="A1331" s="72">
        <f t="shared" ref="A1331:A1394" si="55">IF(C1331&lt;&gt;"",YEAR(C1331),"")</f>
        <v>2016</v>
      </c>
      <c r="B1331" s="72">
        <f t="shared" ref="B1331:B1394" si="56">IF(C1331&lt;&gt;"",MONTH(C1331),"")</f>
        <v>3</v>
      </c>
      <c r="C1331" s="73">
        <v>42445</v>
      </c>
      <c r="D1331" s="73" t="s">
        <v>17</v>
      </c>
      <c r="E1331" s="73">
        <v>42445</v>
      </c>
      <c r="F1331" s="76" t="s">
        <v>1269</v>
      </c>
      <c r="G1331" s="265" t="s">
        <v>1242</v>
      </c>
      <c r="H1331" s="122" t="s">
        <v>299</v>
      </c>
      <c r="I1331" s="122"/>
      <c r="J1331" s="122"/>
      <c r="K1331" s="122"/>
      <c r="L1331" s="122"/>
      <c r="M1331" s="74">
        <v>92291900</v>
      </c>
      <c r="N1331" s="75" t="s">
        <v>18</v>
      </c>
      <c r="O1331" s="75" t="s">
        <v>54</v>
      </c>
      <c r="P1331" s="134" t="str">
        <f>IF(AND('331-CT'!$E$7=TH!H1331,OR(N1331="331",O1331="331")),"x","")</f>
        <v/>
      </c>
    </row>
    <row r="1332" spans="1:16" ht="18" hidden="1" customHeight="1">
      <c r="A1332" s="72">
        <f t="shared" si="55"/>
        <v>2016</v>
      </c>
      <c r="B1332" s="72">
        <f t="shared" si="56"/>
        <v>3</v>
      </c>
      <c r="C1332" s="73">
        <v>42445</v>
      </c>
      <c r="D1332" s="73" t="s">
        <v>17</v>
      </c>
      <c r="E1332" s="73">
        <v>42445</v>
      </c>
      <c r="F1332" s="76" t="s">
        <v>34</v>
      </c>
      <c r="G1332" s="265" t="s">
        <v>1242</v>
      </c>
      <c r="H1332" s="122"/>
      <c r="I1332" s="122"/>
      <c r="J1332" s="122"/>
      <c r="K1332" s="122"/>
      <c r="L1332" s="122"/>
      <c r="M1332" s="74">
        <v>46146</v>
      </c>
      <c r="N1332" s="75" t="s">
        <v>241</v>
      </c>
      <c r="O1332" s="75" t="s">
        <v>54</v>
      </c>
      <c r="P1332" s="134" t="str">
        <f>IF(AND('331-CT'!$E$7=TH!H1332,OR(N1332="331",O1332="331")),"x","")</f>
        <v/>
      </c>
    </row>
    <row r="1333" spans="1:16" ht="18" hidden="1" customHeight="1">
      <c r="A1333" s="72">
        <f t="shared" si="55"/>
        <v>2016</v>
      </c>
      <c r="B1333" s="72">
        <f t="shared" si="56"/>
        <v>3</v>
      </c>
      <c r="C1333" s="73">
        <v>42445</v>
      </c>
      <c r="D1333" s="73" t="s">
        <v>17</v>
      </c>
      <c r="E1333" s="73">
        <v>42445</v>
      </c>
      <c r="F1333" s="76" t="s">
        <v>35</v>
      </c>
      <c r="G1333" s="265" t="s">
        <v>1242</v>
      </c>
      <c r="H1333" s="122"/>
      <c r="I1333" s="122"/>
      <c r="J1333" s="122"/>
      <c r="K1333" s="122"/>
      <c r="L1333" s="122"/>
      <c r="M1333" s="74">
        <v>4615</v>
      </c>
      <c r="N1333" s="75" t="s">
        <v>19</v>
      </c>
      <c r="O1333" s="75" t="s">
        <v>54</v>
      </c>
      <c r="P1333" s="134" t="str">
        <f>IF(AND('331-CT'!$E$7=TH!H1333,OR(N1333="331",O1333="331")),"x","")</f>
        <v/>
      </c>
    </row>
    <row r="1334" spans="1:16" ht="18" hidden="1" customHeight="1">
      <c r="A1334" s="72">
        <f t="shared" si="55"/>
        <v>2016</v>
      </c>
      <c r="B1334" s="72">
        <f t="shared" si="56"/>
        <v>3</v>
      </c>
      <c r="C1334" s="73">
        <v>42445</v>
      </c>
      <c r="D1334" s="73" t="s">
        <v>17</v>
      </c>
      <c r="E1334" s="73">
        <v>42445</v>
      </c>
      <c r="F1334" s="76" t="s">
        <v>23</v>
      </c>
      <c r="G1334" s="265" t="s">
        <v>1242</v>
      </c>
      <c r="H1334" s="122"/>
      <c r="I1334" s="122"/>
      <c r="J1334" s="122"/>
      <c r="K1334" s="122"/>
      <c r="L1334" s="122"/>
      <c r="M1334" s="74">
        <v>27688</v>
      </c>
      <c r="N1334" s="75" t="s">
        <v>241</v>
      </c>
      <c r="O1334" s="75" t="s">
        <v>54</v>
      </c>
      <c r="P1334" s="134" t="str">
        <f>IF(AND('331-CT'!$E$7=TH!H1334,OR(N1334="331",O1334="331")),"x","")</f>
        <v/>
      </c>
    </row>
    <row r="1335" spans="1:16" ht="18" hidden="1" customHeight="1">
      <c r="A1335" s="72">
        <f t="shared" si="55"/>
        <v>2016</v>
      </c>
      <c r="B1335" s="72">
        <f t="shared" si="56"/>
        <v>3</v>
      </c>
      <c r="C1335" s="73">
        <v>42445</v>
      </c>
      <c r="D1335" s="73" t="s">
        <v>17</v>
      </c>
      <c r="E1335" s="73">
        <v>42445</v>
      </c>
      <c r="F1335" s="76" t="s">
        <v>24</v>
      </c>
      <c r="G1335" s="265" t="s">
        <v>1242</v>
      </c>
      <c r="H1335" s="122"/>
      <c r="I1335" s="122"/>
      <c r="J1335" s="122"/>
      <c r="K1335" s="122"/>
      <c r="L1335" s="122"/>
      <c r="M1335" s="74">
        <v>2769</v>
      </c>
      <c r="N1335" s="75" t="s">
        <v>19</v>
      </c>
      <c r="O1335" s="75" t="s">
        <v>54</v>
      </c>
      <c r="P1335" s="134" t="str">
        <f>IF(AND('331-CT'!$E$7=TH!H1335,OR(N1335="331",O1335="331")),"x","")</f>
        <v/>
      </c>
    </row>
    <row r="1336" spans="1:16" ht="18" hidden="1" customHeight="1">
      <c r="A1336" s="72">
        <f t="shared" si="55"/>
        <v>2016</v>
      </c>
      <c r="B1336" s="72">
        <f t="shared" si="56"/>
        <v>3</v>
      </c>
      <c r="C1336" s="73">
        <v>42448</v>
      </c>
      <c r="D1336" s="73" t="s">
        <v>17</v>
      </c>
      <c r="E1336" s="73">
        <v>42448</v>
      </c>
      <c r="F1336" s="76" t="s">
        <v>1194</v>
      </c>
      <c r="G1336" s="265" t="s">
        <v>1242</v>
      </c>
      <c r="H1336" s="122" t="s">
        <v>313</v>
      </c>
      <c r="I1336" s="122"/>
      <c r="J1336" s="122"/>
      <c r="K1336" s="122"/>
      <c r="L1336" s="122"/>
      <c r="M1336" s="74">
        <v>7652778</v>
      </c>
      <c r="N1336" s="75" t="s">
        <v>239</v>
      </c>
      <c r="O1336" s="75" t="s">
        <v>54</v>
      </c>
      <c r="P1336" s="134" t="str">
        <f>IF(AND('331-CT'!$E$7=TH!H1336,OR(N1336="331",O1336="331")),"x","")</f>
        <v/>
      </c>
    </row>
    <row r="1337" spans="1:16" ht="18" hidden="1" customHeight="1">
      <c r="A1337" s="72">
        <f t="shared" si="55"/>
        <v>2016</v>
      </c>
      <c r="B1337" s="72">
        <f t="shared" si="56"/>
        <v>3</v>
      </c>
      <c r="C1337" s="73">
        <v>42448</v>
      </c>
      <c r="D1337" s="73" t="s">
        <v>17</v>
      </c>
      <c r="E1337" s="73">
        <v>42448</v>
      </c>
      <c r="F1337" s="76" t="s">
        <v>1194</v>
      </c>
      <c r="G1337" s="265" t="s">
        <v>1242</v>
      </c>
      <c r="H1337" s="122" t="s">
        <v>314</v>
      </c>
      <c r="I1337" s="122"/>
      <c r="J1337" s="122"/>
      <c r="K1337" s="122"/>
      <c r="L1337" s="122"/>
      <c r="M1337" s="74">
        <v>15305556</v>
      </c>
      <c r="N1337" s="75" t="s">
        <v>239</v>
      </c>
      <c r="O1337" s="75" t="s">
        <v>54</v>
      </c>
      <c r="P1337" s="134" t="str">
        <f>IF(AND('331-CT'!$E$7=TH!H1337,OR(N1337="331",O1337="331")),"x","")</f>
        <v/>
      </c>
    </row>
    <row r="1338" spans="1:16" ht="18" hidden="1" customHeight="1">
      <c r="A1338" s="72">
        <f t="shared" si="55"/>
        <v>2016</v>
      </c>
      <c r="B1338" s="72">
        <f t="shared" si="56"/>
        <v>3</v>
      </c>
      <c r="C1338" s="73">
        <v>42448</v>
      </c>
      <c r="D1338" s="73" t="s">
        <v>17</v>
      </c>
      <c r="E1338" s="73">
        <v>42448</v>
      </c>
      <c r="F1338" s="76" t="s">
        <v>1194</v>
      </c>
      <c r="G1338" s="265" t="s">
        <v>1242</v>
      </c>
      <c r="H1338" s="122" t="s">
        <v>316</v>
      </c>
      <c r="I1338" s="122"/>
      <c r="J1338" s="122"/>
      <c r="K1338" s="122"/>
      <c r="L1338" s="122"/>
      <c r="M1338" s="74">
        <v>12244444</v>
      </c>
      <c r="N1338" s="75" t="s">
        <v>239</v>
      </c>
      <c r="O1338" s="75" t="s">
        <v>54</v>
      </c>
      <c r="P1338" s="134" t="str">
        <f>IF(AND('331-CT'!$E$7=TH!H1338,OR(N1338="331",O1338="331")),"x","")</f>
        <v/>
      </c>
    </row>
    <row r="1339" spans="1:16" ht="18" hidden="1" customHeight="1">
      <c r="A1339" s="72">
        <f t="shared" si="55"/>
        <v>2016</v>
      </c>
      <c r="B1339" s="72">
        <f t="shared" si="56"/>
        <v>3</v>
      </c>
      <c r="C1339" s="73">
        <v>42448</v>
      </c>
      <c r="D1339" s="73" t="s">
        <v>17</v>
      </c>
      <c r="E1339" s="73">
        <v>42448</v>
      </c>
      <c r="F1339" s="76" t="s">
        <v>1194</v>
      </c>
      <c r="G1339" s="265" t="s">
        <v>1242</v>
      </c>
      <c r="H1339" s="122" t="s">
        <v>315</v>
      </c>
      <c r="I1339" s="122"/>
      <c r="J1339" s="122"/>
      <c r="K1339" s="122"/>
      <c r="L1339" s="122"/>
      <c r="M1339" s="74">
        <v>11479167</v>
      </c>
      <c r="N1339" s="75" t="s">
        <v>239</v>
      </c>
      <c r="O1339" s="75" t="s">
        <v>54</v>
      </c>
      <c r="P1339" s="134" t="str">
        <f>IF(AND('331-CT'!$E$7=TH!H1339,OR(N1339="331",O1339="331")),"x","")</f>
        <v/>
      </c>
    </row>
    <row r="1340" spans="1:16" ht="18" hidden="1" customHeight="1">
      <c r="A1340" s="72">
        <f t="shared" si="55"/>
        <v>2016</v>
      </c>
      <c r="B1340" s="72">
        <f t="shared" si="56"/>
        <v>3</v>
      </c>
      <c r="C1340" s="73">
        <v>42448</v>
      </c>
      <c r="D1340" s="73" t="s">
        <v>17</v>
      </c>
      <c r="E1340" s="73">
        <v>42448</v>
      </c>
      <c r="F1340" s="76" t="s">
        <v>1194</v>
      </c>
      <c r="G1340" s="265" t="s">
        <v>1242</v>
      </c>
      <c r="H1340" s="122" t="s">
        <v>317</v>
      </c>
      <c r="I1340" s="122"/>
      <c r="J1340" s="122"/>
      <c r="K1340" s="122"/>
      <c r="L1340" s="122"/>
      <c r="M1340" s="74">
        <v>7652778</v>
      </c>
      <c r="N1340" s="75" t="s">
        <v>239</v>
      </c>
      <c r="O1340" s="75" t="s">
        <v>54</v>
      </c>
      <c r="P1340" s="134" t="str">
        <f>IF(AND('331-CT'!$E$7=TH!H1340,OR(N1340="331",O1340="331")),"x","")</f>
        <v/>
      </c>
    </row>
    <row r="1341" spans="1:16" ht="18" hidden="1" customHeight="1">
      <c r="A1341" s="72">
        <f t="shared" si="55"/>
        <v>2016</v>
      </c>
      <c r="B1341" s="72">
        <f t="shared" si="56"/>
        <v>3</v>
      </c>
      <c r="C1341" s="73">
        <v>42448</v>
      </c>
      <c r="D1341" s="73" t="s">
        <v>17</v>
      </c>
      <c r="E1341" s="73">
        <v>42448</v>
      </c>
      <c r="F1341" s="76" t="s">
        <v>1194</v>
      </c>
      <c r="G1341" s="265" t="s">
        <v>1242</v>
      </c>
      <c r="H1341" s="122" t="s">
        <v>318</v>
      </c>
      <c r="I1341" s="122"/>
      <c r="J1341" s="122"/>
      <c r="K1341" s="122"/>
      <c r="L1341" s="122"/>
      <c r="M1341" s="74">
        <v>11479167</v>
      </c>
      <c r="N1341" s="75" t="s">
        <v>239</v>
      </c>
      <c r="O1341" s="75" t="s">
        <v>54</v>
      </c>
      <c r="P1341" s="134" t="str">
        <f>IF(AND('331-CT'!$E$7=TH!H1341,OR(N1341="331",O1341="331")),"x","")</f>
        <v/>
      </c>
    </row>
    <row r="1342" spans="1:16" ht="18" hidden="1" customHeight="1">
      <c r="A1342" s="72">
        <f t="shared" si="55"/>
        <v>2016</v>
      </c>
      <c r="B1342" s="72">
        <f t="shared" si="56"/>
        <v>3</v>
      </c>
      <c r="C1342" s="73">
        <v>42448</v>
      </c>
      <c r="D1342" s="73" t="s">
        <v>17</v>
      </c>
      <c r="E1342" s="73">
        <v>42448</v>
      </c>
      <c r="F1342" s="76" t="s">
        <v>1194</v>
      </c>
      <c r="G1342" s="265" t="s">
        <v>1242</v>
      </c>
      <c r="H1342" s="122" t="s">
        <v>319</v>
      </c>
      <c r="I1342" s="122"/>
      <c r="J1342" s="122"/>
      <c r="K1342" s="122"/>
      <c r="L1342" s="122"/>
      <c r="M1342" s="74">
        <v>15305556</v>
      </c>
      <c r="N1342" s="75" t="s">
        <v>239</v>
      </c>
      <c r="O1342" s="75" t="s">
        <v>54</v>
      </c>
      <c r="P1342" s="134" t="str">
        <f>IF(AND('331-CT'!$E$7=TH!H1342,OR(N1342="331",O1342="331")),"x","")</f>
        <v/>
      </c>
    </row>
    <row r="1343" spans="1:16" ht="18" hidden="1" customHeight="1">
      <c r="A1343" s="72">
        <f t="shared" si="55"/>
        <v>2016</v>
      </c>
      <c r="B1343" s="72">
        <f t="shared" si="56"/>
        <v>3</v>
      </c>
      <c r="C1343" s="73">
        <v>42448</v>
      </c>
      <c r="D1343" s="73" t="s">
        <v>17</v>
      </c>
      <c r="E1343" s="73">
        <v>42448</v>
      </c>
      <c r="F1343" s="76" t="s">
        <v>1194</v>
      </c>
      <c r="G1343" s="265" t="s">
        <v>1242</v>
      </c>
      <c r="H1343" s="122" t="s">
        <v>320</v>
      </c>
      <c r="I1343" s="122"/>
      <c r="J1343" s="122"/>
      <c r="K1343" s="122"/>
      <c r="L1343" s="122"/>
      <c r="M1343" s="74">
        <v>10713889</v>
      </c>
      <c r="N1343" s="75" t="s">
        <v>239</v>
      </c>
      <c r="O1343" s="75" t="s">
        <v>54</v>
      </c>
      <c r="P1343" s="134" t="str">
        <f>IF(AND('331-CT'!$E$7=TH!H1343,OR(N1343="331",O1343="331")),"x","")</f>
        <v/>
      </c>
    </row>
    <row r="1344" spans="1:16" ht="18" hidden="1" customHeight="1">
      <c r="A1344" s="72">
        <f t="shared" si="55"/>
        <v>2016</v>
      </c>
      <c r="B1344" s="72">
        <f t="shared" si="56"/>
        <v>3</v>
      </c>
      <c r="C1344" s="73">
        <v>42448</v>
      </c>
      <c r="D1344" s="73" t="s">
        <v>17</v>
      </c>
      <c r="E1344" s="73">
        <v>42448</v>
      </c>
      <c r="F1344" s="76" t="s">
        <v>1194</v>
      </c>
      <c r="G1344" s="265" t="s">
        <v>1242</v>
      </c>
      <c r="H1344" s="122" t="s">
        <v>321</v>
      </c>
      <c r="I1344" s="122"/>
      <c r="J1344" s="122"/>
      <c r="K1344" s="122"/>
      <c r="L1344" s="122"/>
      <c r="M1344" s="74">
        <v>11479167</v>
      </c>
      <c r="N1344" s="75" t="s">
        <v>239</v>
      </c>
      <c r="O1344" s="75" t="s">
        <v>54</v>
      </c>
      <c r="P1344" s="134" t="str">
        <f>IF(AND('331-CT'!$E$7=TH!H1344,OR(N1344="331",O1344="331")),"x","")</f>
        <v/>
      </c>
    </row>
    <row r="1345" spans="1:16" ht="18" hidden="1" customHeight="1">
      <c r="A1345" s="72">
        <f t="shared" si="55"/>
        <v>2016</v>
      </c>
      <c r="B1345" s="72">
        <f t="shared" si="56"/>
        <v>3</v>
      </c>
      <c r="C1345" s="73">
        <v>42448</v>
      </c>
      <c r="D1345" s="73" t="s">
        <v>17</v>
      </c>
      <c r="E1345" s="73">
        <v>42448</v>
      </c>
      <c r="F1345" s="76" t="s">
        <v>1194</v>
      </c>
      <c r="G1345" s="265" t="s">
        <v>1242</v>
      </c>
      <c r="H1345" s="122" t="s">
        <v>325</v>
      </c>
      <c r="I1345" s="122"/>
      <c r="J1345" s="122"/>
      <c r="K1345" s="122"/>
      <c r="L1345" s="122"/>
      <c r="M1345" s="74">
        <v>11479167</v>
      </c>
      <c r="N1345" s="75" t="s">
        <v>239</v>
      </c>
      <c r="O1345" s="75" t="s">
        <v>54</v>
      </c>
      <c r="P1345" s="134" t="str">
        <f>IF(AND('331-CT'!$E$7=TH!H1345,OR(N1345="331",O1345="331")),"x","")</f>
        <v/>
      </c>
    </row>
    <row r="1346" spans="1:16" ht="18" hidden="1" customHeight="1">
      <c r="A1346" s="72">
        <f t="shared" si="55"/>
        <v>2016</v>
      </c>
      <c r="B1346" s="72">
        <f t="shared" si="56"/>
        <v>3</v>
      </c>
      <c r="C1346" s="73">
        <v>42448</v>
      </c>
      <c r="D1346" s="73" t="s">
        <v>17</v>
      </c>
      <c r="E1346" s="73">
        <v>42448</v>
      </c>
      <c r="F1346" s="76" t="s">
        <v>1194</v>
      </c>
      <c r="G1346" s="265" t="s">
        <v>1242</v>
      </c>
      <c r="H1346" s="122" t="s">
        <v>416</v>
      </c>
      <c r="I1346" s="122"/>
      <c r="J1346" s="122"/>
      <c r="K1346" s="122"/>
      <c r="L1346" s="122"/>
      <c r="M1346" s="74">
        <v>11479167</v>
      </c>
      <c r="N1346" s="75" t="s">
        <v>239</v>
      </c>
      <c r="O1346" s="75" t="s">
        <v>54</v>
      </c>
      <c r="P1346" s="134" t="str">
        <f>IF(AND('331-CT'!$E$7=TH!H1346,OR(N1346="331",O1346="331")),"x","")</f>
        <v/>
      </c>
    </row>
    <row r="1347" spans="1:16" ht="18" hidden="1" customHeight="1">
      <c r="A1347" s="72">
        <f t="shared" si="55"/>
        <v>2016</v>
      </c>
      <c r="B1347" s="72">
        <f t="shared" si="56"/>
        <v>3</v>
      </c>
      <c r="C1347" s="73">
        <v>42448</v>
      </c>
      <c r="D1347" s="73" t="s">
        <v>17</v>
      </c>
      <c r="E1347" s="73">
        <v>42448</v>
      </c>
      <c r="F1347" s="76" t="s">
        <v>1194</v>
      </c>
      <c r="G1347" s="265" t="s">
        <v>1242</v>
      </c>
      <c r="H1347" s="122" t="s">
        <v>323</v>
      </c>
      <c r="I1347" s="122"/>
      <c r="J1347" s="122"/>
      <c r="K1347" s="122"/>
      <c r="L1347" s="122"/>
      <c r="M1347" s="74">
        <v>11479167</v>
      </c>
      <c r="N1347" s="75" t="s">
        <v>239</v>
      </c>
      <c r="O1347" s="75" t="s">
        <v>54</v>
      </c>
      <c r="P1347" s="134" t="str">
        <f>IF(AND('331-CT'!$E$7=TH!H1347,OR(N1347="331",O1347="331")),"x","")</f>
        <v/>
      </c>
    </row>
    <row r="1348" spans="1:16" ht="18" hidden="1" customHeight="1">
      <c r="A1348" s="72">
        <f t="shared" si="55"/>
        <v>2016</v>
      </c>
      <c r="B1348" s="72">
        <f t="shared" si="56"/>
        <v>3</v>
      </c>
      <c r="C1348" s="73">
        <v>42448</v>
      </c>
      <c r="D1348" s="73" t="s">
        <v>17</v>
      </c>
      <c r="E1348" s="73">
        <v>42448</v>
      </c>
      <c r="F1348" s="76" t="s">
        <v>1194</v>
      </c>
      <c r="G1348" s="265" t="s">
        <v>1242</v>
      </c>
      <c r="H1348" s="122" t="s">
        <v>421</v>
      </c>
      <c r="I1348" s="122"/>
      <c r="J1348" s="122"/>
      <c r="K1348" s="122"/>
      <c r="L1348" s="122"/>
      <c r="M1348" s="74">
        <v>7652778</v>
      </c>
      <c r="N1348" s="75" t="s">
        <v>239</v>
      </c>
      <c r="O1348" s="75" t="s">
        <v>54</v>
      </c>
      <c r="P1348" s="134" t="str">
        <f>IF(AND('331-CT'!$E$7=TH!H1348,OR(N1348="331",O1348="331")),"x","")</f>
        <v/>
      </c>
    </row>
    <row r="1349" spans="1:16" ht="18" hidden="1" customHeight="1">
      <c r="A1349" s="72">
        <f t="shared" si="55"/>
        <v>2016</v>
      </c>
      <c r="B1349" s="72">
        <f t="shared" si="56"/>
        <v>3</v>
      </c>
      <c r="C1349" s="73">
        <v>42448</v>
      </c>
      <c r="D1349" s="73" t="s">
        <v>17</v>
      </c>
      <c r="E1349" s="73">
        <v>42448</v>
      </c>
      <c r="F1349" s="76" t="s">
        <v>1194</v>
      </c>
      <c r="G1349" s="265" t="s">
        <v>1242</v>
      </c>
      <c r="H1349" s="122" t="s">
        <v>455</v>
      </c>
      <c r="I1349" s="122"/>
      <c r="J1349" s="122"/>
      <c r="K1349" s="122"/>
      <c r="L1349" s="122"/>
      <c r="M1349" s="74">
        <v>7652778</v>
      </c>
      <c r="N1349" s="75" t="s">
        <v>239</v>
      </c>
      <c r="O1349" s="75" t="s">
        <v>54</v>
      </c>
      <c r="P1349" s="134" t="str">
        <f>IF(AND('331-CT'!$E$7=TH!H1349,OR(N1349="331",O1349="331")),"x","")</f>
        <v/>
      </c>
    </row>
    <row r="1350" spans="1:16" ht="18" hidden="1" customHeight="1">
      <c r="A1350" s="72">
        <f t="shared" si="55"/>
        <v>2016</v>
      </c>
      <c r="B1350" s="72">
        <f t="shared" si="56"/>
        <v>3</v>
      </c>
      <c r="C1350" s="73">
        <v>42448</v>
      </c>
      <c r="D1350" s="73" t="s">
        <v>17</v>
      </c>
      <c r="E1350" s="73">
        <v>42448</v>
      </c>
      <c r="F1350" s="76" t="s">
        <v>1266</v>
      </c>
      <c r="G1350" s="265" t="s">
        <v>1242</v>
      </c>
      <c r="H1350" s="122" t="s">
        <v>1200</v>
      </c>
      <c r="I1350" s="122"/>
      <c r="J1350" s="122"/>
      <c r="K1350" s="122"/>
      <c r="L1350" s="122"/>
      <c r="M1350" s="74">
        <v>50000000</v>
      </c>
      <c r="N1350" s="75" t="s">
        <v>39</v>
      </c>
      <c r="O1350" s="75" t="s">
        <v>54</v>
      </c>
      <c r="P1350" s="134" t="str">
        <f>IF(AND('331-CT'!$E$7=TH!H1350,OR(N1350="331",O1350="331")),"x","")</f>
        <v/>
      </c>
    </row>
    <row r="1351" spans="1:16" ht="18" hidden="1" customHeight="1">
      <c r="A1351" s="72">
        <f t="shared" si="55"/>
        <v>2016</v>
      </c>
      <c r="B1351" s="72">
        <f t="shared" si="56"/>
        <v>3</v>
      </c>
      <c r="C1351" s="73">
        <v>42448</v>
      </c>
      <c r="D1351" s="73" t="s">
        <v>1103</v>
      </c>
      <c r="E1351" s="73">
        <v>42448</v>
      </c>
      <c r="F1351" s="76" t="s">
        <v>1270</v>
      </c>
      <c r="G1351" s="265"/>
      <c r="H1351" s="122" t="s">
        <v>1200</v>
      </c>
      <c r="I1351" s="122"/>
      <c r="J1351" s="122"/>
      <c r="K1351" s="122"/>
      <c r="L1351" s="122"/>
      <c r="M1351" s="74">
        <v>50000000</v>
      </c>
      <c r="N1351" s="75" t="s">
        <v>203</v>
      </c>
      <c r="O1351" s="75" t="s">
        <v>39</v>
      </c>
      <c r="P1351" s="134" t="str">
        <f>IF(AND('331-CT'!$E$7=TH!H1351,OR(N1351="331",O1351="331")),"x","")</f>
        <v/>
      </c>
    </row>
    <row r="1352" spans="1:16" ht="18" hidden="1" customHeight="1">
      <c r="A1352" s="72">
        <f t="shared" si="55"/>
        <v>2016</v>
      </c>
      <c r="B1352" s="72">
        <f t="shared" si="56"/>
        <v>3</v>
      </c>
      <c r="C1352" s="73">
        <v>42450</v>
      </c>
      <c r="D1352" s="73" t="s">
        <v>764</v>
      </c>
      <c r="E1352" s="73">
        <v>42450</v>
      </c>
      <c r="F1352" s="76" t="s">
        <v>1271</v>
      </c>
      <c r="G1352" s="265" t="s">
        <v>1272</v>
      </c>
      <c r="H1352" s="122" t="s">
        <v>83</v>
      </c>
      <c r="I1352" s="122"/>
      <c r="J1352" s="122"/>
      <c r="K1352" s="122"/>
      <c r="L1352" s="122"/>
      <c r="M1352" s="74">
        <v>4141091</v>
      </c>
      <c r="N1352" s="75" t="s">
        <v>241</v>
      </c>
      <c r="O1352" s="75" t="s">
        <v>203</v>
      </c>
      <c r="P1352" s="134" t="str">
        <f>IF(AND('331-CT'!$E$7=TH!H1352,OR(N1352="331",O1352="331")),"x","")</f>
        <v/>
      </c>
    </row>
    <row r="1353" spans="1:16" ht="18" hidden="1" customHeight="1">
      <c r="A1353" s="72">
        <f t="shared" si="55"/>
        <v>2016</v>
      </c>
      <c r="B1353" s="72">
        <f t="shared" si="56"/>
        <v>3</v>
      </c>
      <c r="C1353" s="73">
        <v>42450</v>
      </c>
      <c r="D1353" s="73" t="s">
        <v>764</v>
      </c>
      <c r="E1353" s="73">
        <v>42450</v>
      </c>
      <c r="F1353" s="76" t="s">
        <v>1273</v>
      </c>
      <c r="G1353" s="265" t="s">
        <v>1272</v>
      </c>
      <c r="H1353" s="122" t="s">
        <v>83</v>
      </c>
      <c r="I1353" s="122"/>
      <c r="J1353" s="122"/>
      <c r="K1353" s="122"/>
      <c r="L1353" s="122"/>
      <c r="M1353" s="74">
        <v>414109</v>
      </c>
      <c r="N1353" s="75" t="s">
        <v>19</v>
      </c>
      <c r="O1353" s="75" t="s">
        <v>203</v>
      </c>
      <c r="P1353" s="134" t="str">
        <f>IF(AND('331-CT'!$E$7=TH!H1353,OR(N1353="331",O1353="331")),"x","")</f>
        <v/>
      </c>
    </row>
    <row r="1354" spans="1:16" ht="18" hidden="1" customHeight="1">
      <c r="A1354" s="72">
        <f t="shared" si="55"/>
        <v>2016</v>
      </c>
      <c r="B1354" s="72">
        <f t="shared" si="56"/>
        <v>3</v>
      </c>
      <c r="C1354" s="73">
        <v>42450</v>
      </c>
      <c r="D1354" s="73" t="s">
        <v>765</v>
      </c>
      <c r="E1354" s="73">
        <v>42450</v>
      </c>
      <c r="F1354" s="76" t="s">
        <v>826</v>
      </c>
      <c r="G1354" s="265" t="s">
        <v>1274</v>
      </c>
      <c r="H1354" s="122" t="s">
        <v>856</v>
      </c>
      <c r="I1354" s="122"/>
      <c r="J1354" s="122"/>
      <c r="K1354" s="122"/>
      <c r="L1354" s="122"/>
      <c r="M1354" s="74">
        <v>2222000</v>
      </c>
      <c r="N1354" s="75" t="s">
        <v>241</v>
      </c>
      <c r="O1354" s="75" t="s">
        <v>203</v>
      </c>
      <c r="P1354" s="134" t="str">
        <f>IF(AND('331-CT'!$E$7=TH!H1354,OR(N1354="331",O1354="331")),"x","")</f>
        <v/>
      </c>
    </row>
    <row r="1355" spans="1:16" ht="18" hidden="1" customHeight="1">
      <c r="A1355" s="72">
        <f t="shared" si="55"/>
        <v>2016</v>
      </c>
      <c r="B1355" s="72">
        <f t="shared" si="56"/>
        <v>3</v>
      </c>
      <c r="C1355" s="73">
        <v>42451</v>
      </c>
      <c r="D1355" s="73" t="s">
        <v>770</v>
      </c>
      <c r="E1355" s="73">
        <v>42451</v>
      </c>
      <c r="F1355" s="76" t="s">
        <v>1275</v>
      </c>
      <c r="G1355" s="265" t="s">
        <v>1276</v>
      </c>
      <c r="H1355" s="122" t="s">
        <v>1277</v>
      </c>
      <c r="I1355" s="122"/>
      <c r="J1355" s="122"/>
      <c r="K1355" s="122"/>
      <c r="L1355" s="122"/>
      <c r="M1355" s="74">
        <v>1200000</v>
      </c>
      <c r="N1355" s="75" t="s">
        <v>241</v>
      </c>
      <c r="O1355" s="75" t="s">
        <v>203</v>
      </c>
      <c r="P1355" s="134" t="str">
        <f>IF(AND('331-CT'!$E$7=TH!H1355,OR(N1355="331",O1355="331")),"x","")</f>
        <v/>
      </c>
    </row>
    <row r="1356" spans="1:16" ht="18" hidden="1" customHeight="1">
      <c r="A1356" s="72">
        <f t="shared" si="55"/>
        <v>2016</v>
      </c>
      <c r="B1356" s="72">
        <f t="shared" si="56"/>
        <v>3</v>
      </c>
      <c r="C1356" s="73">
        <v>42453</v>
      </c>
      <c r="D1356" s="73" t="s">
        <v>775</v>
      </c>
      <c r="E1356" s="73">
        <v>42453</v>
      </c>
      <c r="F1356" s="76" t="s">
        <v>1278</v>
      </c>
      <c r="G1356" s="265" t="s">
        <v>1279</v>
      </c>
      <c r="H1356" s="122" t="s">
        <v>1280</v>
      </c>
      <c r="I1356" s="122"/>
      <c r="J1356" s="122"/>
      <c r="K1356" s="122"/>
      <c r="L1356" s="122"/>
      <c r="M1356" s="74">
        <v>17050899</v>
      </c>
      <c r="N1356" s="75" t="s">
        <v>241</v>
      </c>
      <c r="O1356" s="75" t="s">
        <v>203</v>
      </c>
      <c r="P1356" s="134" t="str">
        <f>IF(AND('331-CT'!$E$7=TH!H1356,OR(N1356="331",O1356="331")),"x","")</f>
        <v/>
      </c>
    </row>
    <row r="1357" spans="1:16" ht="18" hidden="1" customHeight="1">
      <c r="A1357" s="72">
        <f t="shared" si="55"/>
        <v>2016</v>
      </c>
      <c r="B1357" s="72">
        <f t="shared" si="56"/>
        <v>3</v>
      </c>
      <c r="C1357" s="73">
        <v>42453</v>
      </c>
      <c r="D1357" s="73" t="s">
        <v>775</v>
      </c>
      <c r="E1357" s="73">
        <v>42453</v>
      </c>
      <c r="F1357" s="76" t="s">
        <v>1281</v>
      </c>
      <c r="G1357" s="265" t="s">
        <v>1279</v>
      </c>
      <c r="H1357" s="122" t="s">
        <v>1280</v>
      </c>
      <c r="I1357" s="122"/>
      <c r="J1357" s="122"/>
      <c r="K1357" s="122"/>
      <c r="L1357" s="122"/>
      <c r="M1357" s="74">
        <v>1705089</v>
      </c>
      <c r="N1357" s="75" t="s">
        <v>19</v>
      </c>
      <c r="O1357" s="75" t="s">
        <v>203</v>
      </c>
      <c r="P1357" s="134" t="str">
        <f>IF(AND('331-CT'!$E$7=TH!H1357,OR(N1357="331",O1357="331")),"x","")</f>
        <v/>
      </c>
    </row>
    <row r="1358" spans="1:16" ht="18" hidden="1" customHeight="1">
      <c r="A1358" s="72">
        <f t="shared" si="55"/>
        <v>2016</v>
      </c>
      <c r="B1358" s="72">
        <f t="shared" si="56"/>
        <v>3</v>
      </c>
      <c r="C1358" s="73">
        <v>42446</v>
      </c>
      <c r="D1358" s="73" t="s">
        <v>78</v>
      </c>
      <c r="E1358" s="73">
        <v>42446</v>
      </c>
      <c r="F1358" s="76" t="s">
        <v>1267</v>
      </c>
      <c r="G1358" s="265" t="s">
        <v>1282</v>
      </c>
      <c r="H1358" s="122" t="s">
        <v>83</v>
      </c>
      <c r="I1358" s="122"/>
      <c r="J1358" s="122"/>
      <c r="K1358" s="122"/>
      <c r="L1358" s="122"/>
      <c r="M1358" s="74">
        <v>31280000</v>
      </c>
      <c r="N1358" s="75" t="s">
        <v>241</v>
      </c>
      <c r="O1358" s="75" t="s">
        <v>18</v>
      </c>
      <c r="P1358" s="134" t="str">
        <f>IF(AND('331-CT'!$E$7=TH!H1358,OR(N1358="331",O1358="331")),"x","")</f>
        <v/>
      </c>
    </row>
    <row r="1359" spans="1:16" ht="18" hidden="1" customHeight="1">
      <c r="A1359" s="72">
        <f t="shared" si="55"/>
        <v>2016</v>
      </c>
      <c r="B1359" s="72">
        <f t="shared" si="56"/>
        <v>3</v>
      </c>
      <c r="C1359" s="73">
        <v>42446</v>
      </c>
      <c r="D1359" s="73" t="s">
        <v>78</v>
      </c>
      <c r="E1359" s="73">
        <v>42446</v>
      </c>
      <c r="F1359" s="76" t="s">
        <v>1283</v>
      </c>
      <c r="G1359" s="265" t="s">
        <v>1282</v>
      </c>
      <c r="H1359" s="122" t="s">
        <v>83</v>
      </c>
      <c r="I1359" s="122"/>
      <c r="J1359" s="122"/>
      <c r="K1359" s="122"/>
      <c r="L1359" s="122"/>
      <c r="M1359" s="74">
        <v>3128000</v>
      </c>
      <c r="N1359" s="75" t="s">
        <v>19</v>
      </c>
      <c r="O1359" s="75" t="s">
        <v>18</v>
      </c>
      <c r="P1359" s="134" t="str">
        <f>IF(AND('331-CT'!$E$7=TH!H1359,OR(N1359="331",O1359="331")),"x","")</f>
        <v/>
      </c>
    </row>
    <row r="1360" spans="1:16" ht="18" hidden="1" customHeight="1">
      <c r="A1360" s="72">
        <f t="shared" si="55"/>
        <v>2016</v>
      </c>
      <c r="B1360" s="72">
        <f t="shared" si="56"/>
        <v>2</v>
      </c>
      <c r="C1360" s="73">
        <v>42414</v>
      </c>
      <c r="D1360" s="73" t="s">
        <v>78</v>
      </c>
      <c r="E1360" s="73">
        <v>42414</v>
      </c>
      <c r="F1360" s="76" t="s">
        <v>1284</v>
      </c>
      <c r="G1360" s="265" t="s">
        <v>1285</v>
      </c>
      <c r="H1360" s="122" t="s">
        <v>648</v>
      </c>
      <c r="I1360" s="122"/>
      <c r="J1360" s="122"/>
      <c r="K1360" s="122"/>
      <c r="L1360" s="122"/>
      <c r="M1360" s="74">
        <v>36759800</v>
      </c>
      <c r="N1360" s="75" t="s">
        <v>241</v>
      </c>
      <c r="O1360" s="75" t="s">
        <v>18</v>
      </c>
      <c r="P1360" s="134" t="str">
        <f>IF(AND('331-CT'!$E$7=TH!H1360,OR(N1360="331",O1360="331")),"x","")</f>
        <v/>
      </c>
    </row>
    <row r="1361" spans="1:16" ht="18" hidden="1" customHeight="1">
      <c r="A1361" s="72">
        <f t="shared" si="55"/>
        <v>2016</v>
      </c>
      <c r="B1361" s="72">
        <f t="shared" si="56"/>
        <v>2</v>
      </c>
      <c r="C1361" s="73">
        <v>42414</v>
      </c>
      <c r="D1361" s="73" t="s">
        <v>78</v>
      </c>
      <c r="E1361" s="73">
        <v>42414</v>
      </c>
      <c r="F1361" s="76" t="s">
        <v>1286</v>
      </c>
      <c r="G1361" s="265" t="s">
        <v>1285</v>
      </c>
      <c r="H1361" s="122" t="s">
        <v>648</v>
      </c>
      <c r="I1361" s="122"/>
      <c r="J1361" s="122"/>
      <c r="K1361" s="122"/>
      <c r="L1361" s="122"/>
      <c r="M1361" s="74">
        <v>3675980</v>
      </c>
      <c r="N1361" s="75" t="s">
        <v>19</v>
      </c>
      <c r="O1361" s="75" t="s">
        <v>18</v>
      </c>
      <c r="P1361" s="134" t="str">
        <f>IF(AND('331-CT'!$E$7=TH!H1361,OR(N1361="331",O1361="331")),"x","")</f>
        <v/>
      </c>
    </row>
    <row r="1362" spans="1:16" ht="18" hidden="1" customHeight="1">
      <c r="A1362" s="72">
        <f t="shared" si="55"/>
        <v>2016</v>
      </c>
      <c r="B1362" s="72">
        <f t="shared" si="56"/>
        <v>2</v>
      </c>
      <c r="C1362" s="73">
        <v>42426</v>
      </c>
      <c r="D1362" s="73" t="s">
        <v>78</v>
      </c>
      <c r="E1362" s="73">
        <v>42426</v>
      </c>
      <c r="F1362" s="76" t="s">
        <v>1287</v>
      </c>
      <c r="G1362" s="265" t="s">
        <v>1288</v>
      </c>
      <c r="H1362" s="122" t="s">
        <v>648</v>
      </c>
      <c r="I1362" s="122"/>
      <c r="J1362" s="122"/>
      <c r="K1362" s="122"/>
      <c r="L1362" s="122"/>
      <c r="M1362" s="74">
        <v>29443000</v>
      </c>
      <c r="N1362" s="75" t="s">
        <v>241</v>
      </c>
      <c r="O1362" s="75" t="s">
        <v>18</v>
      </c>
      <c r="P1362" s="134" t="str">
        <f>IF(AND('331-CT'!$E$7=TH!H1362,OR(N1362="331",O1362="331")),"x","")</f>
        <v/>
      </c>
    </row>
    <row r="1363" spans="1:16" ht="18" hidden="1" customHeight="1">
      <c r="A1363" s="72">
        <f t="shared" si="55"/>
        <v>2016</v>
      </c>
      <c r="B1363" s="72">
        <f t="shared" si="56"/>
        <v>2</v>
      </c>
      <c r="C1363" s="73">
        <v>42426</v>
      </c>
      <c r="D1363" s="73" t="s">
        <v>78</v>
      </c>
      <c r="E1363" s="73">
        <v>42426</v>
      </c>
      <c r="F1363" s="76" t="s">
        <v>1289</v>
      </c>
      <c r="G1363" s="265" t="s">
        <v>1288</v>
      </c>
      <c r="H1363" s="122" t="s">
        <v>648</v>
      </c>
      <c r="I1363" s="122"/>
      <c r="J1363" s="122"/>
      <c r="K1363" s="122"/>
      <c r="L1363" s="122"/>
      <c r="M1363" s="74">
        <v>2944300</v>
      </c>
      <c r="N1363" s="75" t="s">
        <v>19</v>
      </c>
      <c r="O1363" s="75" t="s">
        <v>18</v>
      </c>
      <c r="P1363" s="134" t="str">
        <f>IF(AND('331-CT'!$E$7=TH!H1363,OR(N1363="331",O1363="331")),"x","")</f>
        <v/>
      </c>
    </row>
    <row r="1364" spans="1:16" ht="18" hidden="1" customHeight="1">
      <c r="A1364" s="72">
        <f t="shared" si="55"/>
        <v>2016</v>
      </c>
      <c r="B1364" s="72">
        <f t="shared" si="56"/>
        <v>3</v>
      </c>
      <c r="C1364" s="73">
        <v>42454</v>
      </c>
      <c r="D1364" s="73" t="s">
        <v>17</v>
      </c>
      <c r="E1364" s="73">
        <v>42454</v>
      </c>
      <c r="F1364" s="76" t="s">
        <v>1290</v>
      </c>
      <c r="G1364" s="265" t="s">
        <v>1242</v>
      </c>
      <c r="H1364" s="122"/>
      <c r="I1364" s="122"/>
      <c r="J1364" s="122"/>
      <c r="K1364" s="122"/>
      <c r="L1364" s="122"/>
      <c r="M1364" s="74">
        <v>50000</v>
      </c>
      <c r="N1364" s="75" t="s">
        <v>241</v>
      </c>
      <c r="O1364" s="75" t="s">
        <v>54</v>
      </c>
      <c r="P1364" s="134" t="str">
        <f>IF(AND('331-CT'!$E$7=TH!H1364,OR(N1364="331",O1364="331")),"x","")</f>
        <v/>
      </c>
    </row>
    <row r="1365" spans="1:16" ht="18" hidden="1" customHeight="1">
      <c r="A1365" s="72">
        <f t="shared" si="55"/>
        <v>2016</v>
      </c>
      <c r="B1365" s="72">
        <f t="shared" si="56"/>
        <v>3</v>
      </c>
      <c r="C1365" s="73">
        <v>42454</v>
      </c>
      <c r="D1365" s="73" t="s">
        <v>17</v>
      </c>
      <c r="E1365" s="73">
        <v>42454</v>
      </c>
      <c r="F1365" s="76" t="s">
        <v>1291</v>
      </c>
      <c r="G1365" s="265" t="s">
        <v>1242</v>
      </c>
      <c r="H1365" s="122"/>
      <c r="I1365" s="122"/>
      <c r="J1365" s="122"/>
      <c r="K1365" s="122"/>
      <c r="L1365" s="122"/>
      <c r="M1365" s="74">
        <v>5000</v>
      </c>
      <c r="N1365" s="75" t="s">
        <v>19</v>
      </c>
      <c r="O1365" s="75" t="s">
        <v>54</v>
      </c>
      <c r="P1365" s="134" t="str">
        <f>IF(AND('331-CT'!$E$7=TH!H1365,OR(N1365="331",O1365="331")),"x","")</f>
        <v/>
      </c>
    </row>
    <row r="1366" spans="1:16" ht="18" hidden="1" customHeight="1">
      <c r="A1366" s="72">
        <f t="shared" si="55"/>
        <v>2016</v>
      </c>
      <c r="B1366" s="72">
        <f t="shared" si="56"/>
        <v>3</v>
      </c>
      <c r="C1366" s="73">
        <v>42454</v>
      </c>
      <c r="D1366" s="73" t="s">
        <v>17</v>
      </c>
      <c r="E1366" s="73">
        <v>42454</v>
      </c>
      <c r="F1366" s="76" t="s">
        <v>1292</v>
      </c>
      <c r="G1366" s="265" t="s">
        <v>1242</v>
      </c>
      <c r="H1366" s="122"/>
      <c r="I1366" s="122"/>
      <c r="J1366" s="122"/>
      <c r="K1366" s="122"/>
      <c r="L1366" s="122"/>
      <c r="M1366" s="74">
        <v>50000</v>
      </c>
      <c r="N1366" s="75" t="s">
        <v>241</v>
      </c>
      <c r="O1366" s="75" t="s">
        <v>54</v>
      </c>
      <c r="P1366" s="134" t="str">
        <f>IF(AND('331-CT'!$E$7=TH!H1366,OR(N1366="331",O1366="331")),"x","")</f>
        <v/>
      </c>
    </row>
    <row r="1367" spans="1:16" ht="18" hidden="1" customHeight="1">
      <c r="A1367" s="72">
        <f t="shared" si="55"/>
        <v>2016</v>
      </c>
      <c r="B1367" s="72">
        <f t="shared" si="56"/>
        <v>3</v>
      </c>
      <c r="C1367" s="73">
        <v>42454</v>
      </c>
      <c r="D1367" s="73" t="s">
        <v>17</v>
      </c>
      <c r="E1367" s="73">
        <v>42454</v>
      </c>
      <c r="F1367" s="76" t="s">
        <v>1291</v>
      </c>
      <c r="G1367" s="265" t="s">
        <v>1242</v>
      </c>
      <c r="H1367" s="122"/>
      <c r="I1367" s="122"/>
      <c r="J1367" s="122"/>
      <c r="K1367" s="122"/>
      <c r="L1367" s="122"/>
      <c r="M1367" s="74">
        <v>5000</v>
      </c>
      <c r="N1367" s="75" t="s">
        <v>19</v>
      </c>
      <c r="O1367" s="75" t="s">
        <v>54</v>
      </c>
      <c r="P1367" s="134" t="str">
        <f>IF(AND('331-CT'!$E$7=TH!H1367,OR(N1367="331",O1367="331")),"x","")</f>
        <v/>
      </c>
    </row>
    <row r="1368" spans="1:16" ht="18" hidden="1" customHeight="1">
      <c r="A1368" s="72">
        <f t="shared" si="55"/>
        <v>2016</v>
      </c>
      <c r="B1368" s="72">
        <f t="shared" si="56"/>
        <v>3</v>
      </c>
      <c r="C1368" s="73">
        <v>42453</v>
      </c>
      <c r="D1368" s="73" t="s">
        <v>21</v>
      </c>
      <c r="E1368" s="73">
        <v>42453</v>
      </c>
      <c r="F1368" s="76" t="s">
        <v>1293</v>
      </c>
      <c r="G1368" s="265" t="s">
        <v>1242</v>
      </c>
      <c r="H1368" s="122"/>
      <c r="I1368" s="122"/>
      <c r="J1368" s="122"/>
      <c r="K1368" s="122"/>
      <c r="L1368" s="122"/>
      <c r="M1368" s="74">
        <v>9459</v>
      </c>
      <c r="N1368" s="75" t="s">
        <v>54</v>
      </c>
      <c r="O1368" s="75" t="s">
        <v>99</v>
      </c>
      <c r="P1368" s="134" t="str">
        <f>IF(AND('331-CT'!$E$7=TH!H1368,OR(N1368="331",O1368="331")),"x","")</f>
        <v/>
      </c>
    </row>
    <row r="1369" spans="1:16" ht="18" hidden="1" customHeight="1">
      <c r="A1369" s="72">
        <f t="shared" si="55"/>
        <v>2016</v>
      </c>
      <c r="B1369" s="72">
        <f t="shared" si="56"/>
        <v>3</v>
      </c>
      <c r="C1369" s="73">
        <v>42458</v>
      </c>
      <c r="D1369" s="73" t="s">
        <v>777</v>
      </c>
      <c r="E1369" s="73">
        <v>42458</v>
      </c>
      <c r="F1369" s="76" t="s">
        <v>1195</v>
      </c>
      <c r="G1369" s="265" t="s">
        <v>1242</v>
      </c>
      <c r="H1369" s="122" t="s">
        <v>307</v>
      </c>
      <c r="I1369" s="122"/>
      <c r="J1369" s="122"/>
      <c r="K1369" s="122"/>
      <c r="L1369" s="122"/>
      <c r="M1369" s="74">
        <v>50000000</v>
      </c>
      <c r="N1369" s="75" t="s">
        <v>54</v>
      </c>
      <c r="O1369" s="75" t="s">
        <v>203</v>
      </c>
      <c r="P1369" s="134" t="str">
        <f>IF(AND('331-CT'!$E$7=TH!H1369,OR(N1369="331",O1369="331")),"x","")</f>
        <v/>
      </c>
    </row>
    <row r="1370" spans="1:16" ht="18" customHeight="1">
      <c r="A1370" s="72">
        <f t="shared" si="55"/>
        <v>2016</v>
      </c>
      <c r="B1370" s="72">
        <f t="shared" si="56"/>
        <v>3</v>
      </c>
      <c r="C1370" s="73">
        <v>42458</v>
      </c>
      <c r="D1370" s="73" t="s">
        <v>17</v>
      </c>
      <c r="E1370" s="73">
        <v>42458</v>
      </c>
      <c r="F1370" s="76" t="s">
        <v>300</v>
      </c>
      <c r="G1370" s="265" t="s">
        <v>1242</v>
      </c>
      <c r="H1370" s="122" t="s">
        <v>305</v>
      </c>
      <c r="I1370" s="122"/>
      <c r="J1370" s="122"/>
      <c r="K1370" s="122"/>
      <c r="L1370" s="122"/>
      <c r="M1370" s="74">
        <v>50000000</v>
      </c>
      <c r="N1370" s="75" t="s">
        <v>18</v>
      </c>
      <c r="O1370" s="75" t="s">
        <v>54</v>
      </c>
      <c r="P1370" s="134" t="str">
        <f>IF(AND('331-CT'!$E$7=TH!H1370,OR(N1370="331",O1370="331")),"x","")</f>
        <v/>
      </c>
    </row>
    <row r="1371" spans="1:16" ht="18" hidden="1" customHeight="1">
      <c r="A1371" s="72">
        <f t="shared" si="55"/>
        <v>2016</v>
      </c>
      <c r="B1371" s="72">
        <f t="shared" si="56"/>
        <v>3</v>
      </c>
      <c r="C1371" s="73">
        <v>42458</v>
      </c>
      <c r="D1371" s="73" t="s">
        <v>17</v>
      </c>
      <c r="E1371" s="73">
        <v>42458</v>
      </c>
      <c r="F1371" s="76" t="s">
        <v>34</v>
      </c>
      <c r="G1371" s="265" t="s">
        <v>1242</v>
      </c>
      <c r="H1371" s="122"/>
      <c r="I1371" s="122"/>
      <c r="J1371" s="122"/>
      <c r="K1371" s="122"/>
      <c r="L1371" s="122"/>
      <c r="M1371" s="74">
        <v>40000</v>
      </c>
      <c r="N1371" s="75" t="s">
        <v>241</v>
      </c>
      <c r="O1371" s="75" t="s">
        <v>54</v>
      </c>
      <c r="P1371" s="134" t="str">
        <f>IF(AND('331-CT'!$E$7=TH!H1371,OR(N1371="331",O1371="331")),"x","")</f>
        <v/>
      </c>
    </row>
    <row r="1372" spans="1:16" ht="18" hidden="1" customHeight="1">
      <c r="A1372" s="72">
        <f t="shared" si="55"/>
        <v>2016</v>
      </c>
      <c r="B1372" s="72">
        <f t="shared" si="56"/>
        <v>3</v>
      </c>
      <c r="C1372" s="73">
        <v>42458</v>
      </c>
      <c r="D1372" s="73" t="s">
        <v>17</v>
      </c>
      <c r="E1372" s="73">
        <v>42458</v>
      </c>
      <c r="F1372" s="76" t="s">
        <v>35</v>
      </c>
      <c r="G1372" s="265" t="s">
        <v>1242</v>
      </c>
      <c r="H1372" s="122"/>
      <c r="I1372" s="122"/>
      <c r="J1372" s="122"/>
      <c r="K1372" s="122"/>
      <c r="L1372" s="122"/>
      <c r="M1372" s="74">
        <v>4000</v>
      </c>
      <c r="N1372" s="75" t="s">
        <v>19</v>
      </c>
      <c r="O1372" s="75" t="s">
        <v>54</v>
      </c>
      <c r="P1372" s="134" t="str">
        <f>IF(AND('331-CT'!$E$7=TH!H1372,OR(N1372="331",O1372="331")),"x","")</f>
        <v/>
      </c>
    </row>
    <row r="1373" spans="1:16" ht="18" hidden="1" customHeight="1">
      <c r="A1373" s="72">
        <f t="shared" si="55"/>
        <v>2016</v>
      </c>
      <c r="B1373" s="72">
        <f t="shared" si="56"/>
        <v>3</v>
      </c>
      <c r="C1373" s="73">
        <v>42459</v>
      </c>
      <c r="D1373" s="73" t="s">
        <v>779</v>
      </c>
      <c r="E1373" s="73">
        <v>42459</v>
      </c>
      <c r="F1373" s="76" t="s">
        <v>1195</v>
      </c>
      <c r="G1373" s="265" t="s">
        <v>1242</v>
      </c>
      <c r="H1373" s="122" t="s">
        <v>271</v>
      </c>
      <c r="I1373" s="122"/>
      <c r="J1373" s="122"/>
      <c r="K1373" s="122"/>
      <c r="L1373" s="122"/>
      <c r="M1373" s="74">
        <v>45000000</v>
      </c>
      <c r="N1373" s="75" t="s">
        <v>54</v>
      </c>
      <c r="O1373" s="75" t="s">
        <v>203</v>
      </c>
      <c r="P1373" s="134" t="str">
        <f>IF(AND('331-CT'!$E$7=TH!H1373,OR(N1373="331",O1373="331")),"x","")</f>
        <v/>
      </c>
    </row>
    <row r="1374" spans="1:16" ht="18" hidden="1" customHeight="1">
      <c r="A1374" s="72">
        <f t="shared" si="55"/>
        <v>2016</v>
      </c>
      <c r="B1374" s="72">
        <f t="shared" si="56"/>
        <v>3</v>
      </c>
      <c r="C1374" s="73">
        <v>42459</v>
      </c>
      <c r="D1374" s="73" t="s">
        <v>17</v>
      </c>
      <c r="E1374" s="73">
        <v>42459</v>
      </c>
      <c r="F1374" s="76" t="s">
        <v>1294</v>
      </c>
      <c r="G1374" s="265" t="s">
        <v>1242</v>
      </c>
      <c r="H1374" s="122" t="s">
        <v>648</v>
      </c>
      <c r="I1374" s="122"/>
      <c r="J1374" s="122"/>
      <c r="K1374" s="122"/>
      <c r="L1374" s="122"/>
      <c r="M1374" s="74">
        <v>42488270</v>
      </c>
      <c r="N1374" s="75" t="s">
        <v>18</v>
      </c>
      <c r="O1374" s="75" t="s">
        <v>54</v>
      </c>
      <c r="P1374" s="134" t="str">
        <f>IF(AND('331-CT'!$E$7=TH!H1374,OR(N1374="331",O1374="331")),"x","")</f>
        <v/>
      </c>
    </row>
    <row r="1375" spans="1:16" ht="18" hidden="1" customHeight="1">
      <c r="A1375" s="72">
        <f t="shared" si="55"/>
        <v>2016</v>
      </c>
      <c r="B1375" s="72">
        <f t="shared" si="56"/>
        <v>3</v>
      </c>
      <c r="C1375" s="73">
        <v>42459</v>
      </c>
      <c r="D1375" s="73" t="s">
        <v>17</v>
      </c>
      <c r="E1375" s="73">
        <v>42459</v>
      </c>
      <c r="F1375" s="76" t="s">
        <v>34</v>
      </c>
      <c r="G1375" s="265" t="s">
        <v>1242</v>
      </c>
      <c r="H1375" s="122"/>
      <c r="I1375" s="122"/>
      <c r="J1375" s="122"/>
      <c r="K1375" s="122"/>
      <c r="L1375" s="122"/>
      <c r="M1375" s="74">
        <v>45000</v>
      </c>
      <c r="N1375" s="75" t="s">
        <v>241</v>
      </c>
      <c r="O1375" s="75" t="s">
        <v>54</v>
      </c>
      <c r="P1375" s="134" t="str">
        <f>IF(AND('331-CT'!$E$7=TH!H1375,OR(N1375="331",O1375="331")),"x","")</f>
        <v/>
      </c>
    </row>
    <row r="1376" spans="1:16" ht="18" hidden="1" customHeight="1">
      <c r="A1376" s="72">
        <f t="shared" si="55"/>
        <v>2016</v>
      </c>
      <c r="B1376" s="72">
        <f t="shared" si="56"/>
        <v>3</v>
      </c>
      <c r="C1376" s="73">
        <v>42459</v>
      </c>
      <c r="D1376" s="73" t="s">
        <v>17</v>
      </c>
      <c r="E1376" s="73">
        <v>42459</v>
      </c>
      <c r="F1376" s="76" t="s">
        <v>35</v>
      </c>
      <c r="G1376" s="265" t="s">
        <v>1242</v>
      </c>
      <c r="H1376" s="122"/>
      <c r="I1376" s="122"/>
      <c r="J1376" s="122"/>
      <c r="K1376" s="122"/>
      <c r="L1376" s="122"/>
      <c r="M1376" s="74">
        <v>4500</v>
      </c>
      <c r="N1376" s="75" t="s">
        <v>19</v>
      </c>
      <c r="O1376" s="75" t="s">
        <v>54</v>
      </c>
      <c r="P1376" s="134" t="str">
        <f>IF(AND('331-CT'!$E$7=TH!H1376,OR(N1376="331",O1376="331")),"x","")</f>
        <v/>
      </c>
    </row>
    <row r="1377" spans="1:16" ht="18" hidden="1" customHeight="1">
      <c r="A1377" s="72">
        <f t="shared" si="55"/>
        <v>2016</v>
      </c>
      <c r="B1377" s="72">
        <f t="shared" si="56"/>
        <v>3</v>
      </c>
      <c r="C1377" s="73">
        <v>42440</v>
      </c>
      <c r="D1377" s="73" t="s">
        <v>78</v>
      </c>
      <c r="E1377" s="73">
        <v>42440</v>
      </c>
      <c r="F1377" s="76" t="s">
        <v>1295</v>
      </c>
      <c r="G1377" s="265" t="s">
        <v>1296</v>
      </c>
      <c r="H1377" s="122" t="s">
        <v>648</v>
      </c>
      <c r="I1377" s="122"/>
      <c r="J1377" s="122"/>
      <c r="K1377" s="122"/>
      <c r="L1377" s="122"/>
      <c r="M1377" s="74">
        <v>38625700</v>
      </c>
      <c r="N1377" s="75" t="s">
        <v>241</v>
      </c>
      <c r="O1377" s="75" t="s">
        <v>18</v>
      </c>
      <c r="P1377" s="134" t="str">
        <f>IF(AND('331-CT'!$E$7=TH!H1377,OR(N1377="331",O1377="331")),"x","")</f>
        <v/>
      </c>
    </row>
    <row r="1378" spans="1:16" ht="18" hidden="1" customHeight="1">
      <c r="A1378" s="72">
        <f t="shared" si="55"/>
        <v>2016</v>
      </c>
      <c r="B1378" s="72">
        <f t="shared" si="56"/>
        <v>3</v>
      </c>
      <c r="C1378" s="73">
        <v>42440</v>
      </c>
      <c r="D1378" s="73" t="s">
        <v>78</v>
      </c>
      <c r="E1378" s="73">
        <v>42440</v>
      </c>
      <c r="F1378" s="76" t="s">
        <v>1297</v>
      </c>
      <c r="G1378" s="265" t="s">
        <v>1296</v>
      </c>
      <c r="H1378" s="122" t="s">
        <v>648</v>
      </c>
      <c r="I1378" s="122"/>
      <c r="J1378" s="122"/>
      <c r="K1378" s="122"/>
      <c r="L1378" s="122"/>
      <c r="M1378" s="74">
        <v>3862570</v>
      </c>
      <c r="N1378" s="75" t="s">
        <v>19</v>
      </c>
      <c r="O1378" s="75" t="s">
        <v>18</v>
      </c>
      <c r="P1378" s="134" t="str">
        <f>IF(AND('331-CT'!$E$7=TH!H1378,OR(N1378="331",O1378="331")),"x","")</f>
        <v/>
      </c>
    </row>
    <row r="1379" spans="1:16" ht="18" hidden="1" customHeight="1">
      <c r="A1379" s="72">
        <f t="shared" si="55"/>
        <v>2016</v>
      </c>
      <c r="B1379" s="72">
        <f t="shared" si="56"/>
        <v>3</v>
      </c>
      <c r="C1379" s="73">
        <v>42454</v>
      </c>
      <c r="D1379" s="73" t="s">
        <v>78</v>
      </c>
      <c r="E1379" s="73">
        <v>42454</v>
      </c>
      <c r="F1379" s="76" t="s">
        <v>1298</v>
      </c>
      <c r="G1379" s="265"/>
      <c r="H1379" s="122" t="s">
        <v>648</v>
      </c>
      <c r="I1379" s="122"/>
      <c r="J1379" s="122"/>
      <c r="K1379" s="122"/>
      <c r="L1379" s="122"/>
      <c r="M1379" s="74">
        <v>42452300</v>
      </c>
      <c r="N1379" s="75" t="s">
        <v>241</v>
      </c>
      <c r="O1379" s="75" t="s">
        <v>18</v>
      </c>
      <c r="P1379" s="134" t="str">
        <f>IF(AND('331-CT'!$E$7=TH!H1379,OR(N1379="331",O1379="331")),"x","")</f>
        <v/>
      </c>
    </row>
    <row r="1380" spans="1:16" ht="18" hidden="1" customHeight="1">
      <c r="A1380" s="72">
        <f t="shared" si="55"/>
        <v>2016</v>
      </c>
      <c r="B1380" s="72">
        <f t="shared" si="56"/>
        <v>3</v>
      </c>
      <c r="C1380" s="73">
        <v>42454</v>
      </c>
      <c r="D1380" s="73" t="s">
        <v>78</v>
      </c>
      <c r="E1380" s="73">
        <v>42454</v>
      </c>
      <c r="F1380" s="76" t="s">
        <v>1299</v>
      </c>
      <c r="G1380" s="265"/>
      <c r="H1380" s="122" t="s">
        <v>648</v>
      </c>
      <c r="I1380" s="122"/>
      <c r="J1380" s="122"/>
      <c r="K1380" s="122"/>
      <c r="L1380" s="122"/>
      <c r="M1380" s="74">
        <v>4245230</v>
      </c>
      <c r="N1380" s="75" t="s">
        <v>19</v>
      </c>
      <c r="O1380" s="75" t="s">
        <v>18</v>
      </c>
      <c r="P1380" s="134" t="str">
        <f>IF(AND('331-CT'!$E$7=TH!H1380,OR(N1380="331",O1380="331")),"x","")</f>
        <v/>
      </c>
    </row>
    <row r="1381" spans="1:16" ht="18" customHeight="1">
      <c r="A1381" s="72">
        <f t="shared" si="55"/>
        <v>2016</v>
      </c>
      <c r="B1381" s="72">
        <f t="shared" si="56"/>
        <v>3</v>
      </c>
      <c r="C1381" s="73">
        <v>42443</v>
      </c>
      <c r="D1381" s="73" t="s">
        <v>78</v>
      </c>
      <c r="E1381" s="73">
        <v>42443</v>
      </c>
      <c r="F1381" s="76" t="s">
        <v>1300</v>
      </c>
      <c r="G1381" s="265" t="s">
        <v>1301</v>
      </c>
      <c r="H1381" s="122" t="s">
        <v>305</v>
      </c>
      <c r="I1381" s="122"/>
      <c r="J1381" s="122"/>
      <c r="K1381" s="122"/>
      <c r="L1381" s="122"/>
      <c r="M1381" s="74">
        <v>2050000000</v>
      </c>
      <c r="N1381" s="75" t="s">
        <v>654</v>
      </c>
      <c r="O1381" s="75" t="s">
        <v>18</v>
      </c>
      <c r="P1381" s="134" t="str">
        <f>IF(AND('331-CT'!$E$7=TH!H1381,OR(N1381="331",O1381="331")),"x","")</f>
        <v/>
      </c>
    </row>
    <row r="1382" spans="1:16" ht="18" customHeight="1">
      <c r="A1382" s="72">
        <f t="shared" si="55"/>
        <v>2016</v>
      </c>
      <c r="B1382" s="72">
        <f t="shared" si="56"/>
        <v>3</v>
      </c>
      <c r="C1382" s="73">
        <v>42443</v>
      </c>
      <c r="D1382" s="73" t="s">
        <v>78</v>
      </c>
      <c r="E1382" s="73">
        <v>42443</v>
      </c>
      <c r="F1382" s="76" t="s">
        <v>1302</v>
      </c>
      <c r="G1382" s="265" t="s">
        <v>1301</v>
      </c>
      <c r="H1382" s="122" t="s">
        <v>305</v>
      </c>
      <c r="I1382" s="122"/>
      <c r="J1382" s="122"/>
      <c r="K1382" s="122"/>
      <c r="L1382" s="122"/>
      <c r="M1382" s="74">
        <v>205000000</v>
      </c>
      <c r="N1382" s="75" t="s">
        <v>1443</v>
      </c>
      <c r="O1382" s="75" t="s">
        <v>18</v>
      </c>
      <c r="P1382" s="134" t="str">
        <f>IF(AND('331-CT'!$E$7=TH!H1382,OR(N1382="331",O1382="331")),"x","")</f>
        <v/>
      </c>
    </row>
    <row r="1383" spans="1:16" ht="18" hidden="1" customHeight="1">
      <c r="A1383" s="72">
        <f t="shared" si="55"/>
        <v>2016</v>
      </c>
      <c r="B1383" s="72">
        <f t="shared" si="56"/>
        <v>3</v>
      </c>
      <c r="C1383" s="73">
        <v>42460</v>
      </c>
      <c r="D1383" s="73" t="s">
        <v>784</v>
      </c>
      <c r="E1383" s="73">
        <v>42460</v>
      </c>
      <c r="F1383" s="76" t="s">
        <v>1309</v>
      </c>
      <c r="G1383" s="265" t="s">
        <v>1310</v>
      </c>
      <c r="H1383" s="122" t="s">
        <v>828</v>
      </c>
      <c r="I1383" s="122"/>
      <c r="J1383" s="122"/>
      <c r="K1383" s="122"/>
      <c r="L1383" s="122"/>
      <c r="M1383" s="74">
        <v>415000</v>
      </c>
      <c r="N1383" s="75" t="s">
        <v>654</v>
      </c>
      <c r="O1383" s="75" t="s">
        <v>203</v>
      </c>
      <c r="P1383" s="134" t="str">
        <f>IF(AND('331-CT'!$E$7=TH!H1383,OR(N1383="331",O1383="331")),"x","")</f>
        <v/>
      </c>
    </row>
    <row r="1384" spans="1:16" ht="18" hidden="1" customHeight="1">
      <c r="A1384" s="72">
        <f t="shared" si="55"/>
        <v>2016</v>
      </c>
      <c r="B1384" s="72">
        <f t="shared" si="56"/>
        <v>3</v>
      </c>
      <c r="C1384" s="73">
        <v>42460</v>
      </c>
      <c r="D1384" s="73" t="s">
        <v>792</v>
      </c>
      <c r="E1384" s="73">
        <v>42460</v>
      </c>
      <c r="F1384" s="76" t="s">
        <v>1311</v>
      </c>
      <c r="G1384" s="265" t="s">
        <v>1312</v>
      </c>
      <c r="H1384" s="122" t="s">
        <v>1313</v>
      </c>
      <c r="I1384" s="122"/>
      <c r="J1384" s="122"/>
      <c r="K1384" s="122"/>
      <c r="L1384" s="122"/>
      <c r="M1384" s="74">
        <v>2850000</v>
      </c>
      <c r="N1384" s="75" t="s">
        <v>654</v>
      </c>
      <c r="O1384" s="75" t="s">
        <v>203</v>
      </c>
      <c r="P1384" s="134" t="str">
        <f>IF(AND('331-CT'!$E$7=TH!H1384,OR(N1384="331",O1384="331")),"x","")</f>
        <v/>
      </c>
    </row>
    <row r="1385" spans="1:16" ht="18" hidden="1" customHeight="1">
      <c r="A1385" s="72">
        <f t="shared" si="55"/>
        <v>2016</v>
      </c>
      <c r="B1385" s="72">
        <f t="shared" si="56"/>
        <v>3</v>
      </c>
      <c r="C1385" s="73">
        <v>42460</v>
      </c>
      <c r="D1385" s="73" t="s">
        <v>796</v>
      </c>
      <c r="E1385" s="73">
        <v>42450</v>
      </c>
      <c r="F1385" s="76" t="s">
        <v>1314</v>
      </c>
      <c r="G1385" s="265" t="s">
        <v>1315</v>
      </c>
      <c r="H1385" s="122" t="s">
        <v>188</v>
      </c>
      <c r="I1385" s="122"/>
      <c r="J1385" s="122"/>
      <c r="K1385" s="122"/>
      <c r="L1385" s="122"/>
      <c r="M1385" s="74">
        <v>11063000</v>
      </c>
      <c r="N1385" s="75" t="s">
        <v>241</v>
      </c>
      <c r="O1385" s="75" t="s">
        <v>203</v>
      </c>
      <c r="P1385" s="134" t="str">
        <f>IF(AND('331-CT'!$E$7=TH!H1385,OR(N1385="331",O1385="331")),"x","")</f>
        <v/>
      </c>
    </row>
    <row r="1386" spans="1:16" ht="18" hidden="1" customHeight="1">
      <c r="A1386" s="72">
        <f t="shared" si="55"/>
        <v>2016</v>
      </c>
      <c r="B1386" s="72">
        <f t="shared" si="56"/>
        <v>3</v>
      </c>
      <c r="C1386" s="73">
        <v>42460</v>
      </c>
      <c r="D1386" s="73" t="s">
        <v>796</v>
      </c>
      <c r="E1386" s="73">
        <v>42450</v>
      </c>
      <c r="F1386" s="76" t="s">
        <v>1316</v>
      </c>
      <c r="G1386" s="265" t="s">
        <v>1315</v>
      </c>
      <c r="H1386" s="122" t="s">
        <v>188</v>
      </c>
      <c r="I1386" s="122"/>
      <c r="J1386" s="122"/>
      <c r="K1386" s="122"/>
      <c r="L1386" s="122"/>
      <c r="M1386" s="74">
        <v>553150</v>
      </c>
      <c r="N1386" s="75" t="s">
        <v>19</v>
      </c>
      <c r="O1386" s="75" t="s">
        <v>203</v>
      </c>
      <c r="P1386" s="134" t="str">
        <f>IF(AND('331-CT'!$E$7=TH!H1386,OR(N1386="331",O1386="331")),"x","")</f>
        <v/>
      </c>
    </row>
    <row r="1387" spans="1:16" ht="18" hidden="1" customHeight="1">
      <c r="A1387" s="72">
        <f t="shared" si="55"/>
        <v>2016</v>
      </c>
      <c r="B1387" s="72">
        <f t="shared" si="56"/>
        <v>4</v>
      </c>
      <c r="C1387" s="73">
        <v>42462</v>
      </c>
      <c r="D1387" s="73" t="s">
        <v>73</v>
      </c>
      <c r="E1387" s="73">
        <v>42358</v>
      </c>
      <c r="F1387" s="76" t="s">
        <v>1317</v>
      </c>
      <c r="G1387" s="265" t="s">
        <v>1318</v>
      </c>
      <c r="H1387" s="122" t="s">
        <v>1319</v>
      </c>
      <c r="I1387" s="122"/>
      <c r="J1387" s="122"/>
      <c r="K1387" s="122"/>
      <c r="L1387" s="122"/>
      <c r="M1387" s="74">
        <v>10087000</v>
      </c>
      <c r="N1387" s="75" t="s">
        <v>654</v>
      </c>
      <c r="O1387" s="75" t="s">
        <v>203</v>
      </c>
      <c r="P1387" s="134" t="str">
        <f>IF(AND('331-CT'!$E$7=TH!H1387,OR(N1387="331",O1387="331")),"x","")</f>
        <v/>
      </c>
    </row>
    <row r="1388" spans="1:16" ht="18" hidden="1" customHeight="1">
      <c r="A1388" s="72">
        <f t="shared" si="55"/>
        <v>2016</v>
      </c>
      <c r="B1388" s="72">
        <f t="shared" si="56"/>
        <v>4</v>
      </c>
      <c r="C1388" s="73">
        <v>42462</v>
      </c>
      <c r="D1388" s="73" t="s">
        <v>73</v>
      </c>
      <c r="E1388" s="73">
        <v>42358</v>
      </c>
      <c r="F1388" s="76" t="s">
        <v>1320</v>
      </c>
      <c r="G1388" s="265" t="s">
        <v>1318</v>
      </c>
      <c r="H1388" s="122" t="s">
        <v>1319</v>
      </c>
      <c r="I1388" s="122"/>
      <c r="J1388" s="122"/>
      <c r="K1388" s="122"/>
      <c r="L1388" s="122"/>
      <c r="M1388" s="74">
        <v>1008700</v>
      </c>
      <c r="N1388" s="75" t="s">
        <v>1443</v>
      </c>
      <c r="O1388" s="75" t="s">
        <v>203</v>
      </c>
      <c r="P1388" s="134" t="str">
        <f>IF(AND('331-CT'!$E$7=TH!H1388,OR(N1388="331",O1388="331")),"x","")</f>
        <v/>
      </c>
    </row>
    <row r="1389" spans="1:16" ht="18" hidden="1" customHeight="1">
      <c r="A1389" s="72">
        <f t="shared" si="55"/>
        <v>2016</v>
      </c>
      <c r="B1389" s="72">
        <f t="shared" si="56"/>
        <v>4</v>
      </c>
      <c r="C1389" s="73">
        <v>42462</v>
      </c>
      <c r="D1389" s="73" t="s">
        <v>92</v>
      </c>
      <c r="E1389" s="73">
        <v>42361</v>
      </c>
      <c r="F1389" s="76" t="s">
        <v>1321</v>
      </c>
      <c r="G1389" s="265" t="s">
        <v>1322</v>
      </c>
      <c r="H1389" s="122" t="s">
        <v>1323</v>
      </c>
      <c r="I1389" s="122"/>
      <c r="J1389" s="122"/>
      <c r="K1389" s="122"/>
      <c r="L1389" s="122"/>
      <c r="M1389" s="74">
        <v>16730000</v>
      </c>
      <c r="N1389" s="75" t="s">
        <v>654</v>
      </c>
      <c r="O1389" s="75" t="s">
        <v>203</v>
      </c>
      <c r="P1389" s="134" t="str">
        <f>IF(AND('331-CT'!$E$7=TH!H1389,OR(N1389="331",O1389="331")),"x","")</f>
        <v/>
      </c>
    </row>
    <row r="1390" spans="1:16" ht="18" hidden="1" customHeight="1">
      <c r="A1390" s="72">
        <f t="shared" si="55"/>
        <v>2016</v>
      </c>
      <c r="B1390" s="72">
        <f t="shared" si="56"/>
        <v>4</v>
      </c>
      <c r="C1390" s="73">
        <v>42462</v>
      </c>
      <c r="D1390" s="73" t="s">
        <v>92</v>
      </c>
      <c r="E1390" s="73">
        <v>42361</v>
      </c>
      <c r="F1390" s="76" t="s">
        <v>1324</v>
      </c>
      <c r="G1390" s="265" t="s">
        <v>1322</v>
      </c>
      <c r="H1390" s="122" t="s">
        <v>1323</v>
      </c>
      <c r="I1390" s="122"/>
      <c r="J1390" s="122"/>
      <c r="K1390" s="122"/>
      <c r="L1390" s="122"/>
      <c r="M1390" s="74">
        <v>1673000</v>
      </c>
      <c r="N1390" s="75" t="s">
        <v>1443</v>
      </c>
      <c r="O1390" s="75" t="s">
        <v>203</v>
      </c>
      <c r="P1390" s="134" t="str">
        <f>IF(AND('331-CT'!$E$7=TH!H1390,OR(N1390="331",O1390="331")),"x","")</f>
        <v/>
      </c>
    </row>
    <row r="1391" spans="1:16" ht="18" hidden="1" customHeight="1">
      <c r="A1391" s="72">
        <f t="shared" si="55"/>
        <v>2016</v>
      </c>
      <c r="B1391" s="72">
        <f t="shared" si="56"/>
        <v>4</v>
      </c>
      <c r="C1391" s="73">
        <v>42462</v>
      </c>
      <c r="D1391" s="73" t="s">
        <v>93</v>
      </c>
      <c r="E1391" s="73">
        <v>42363</v>
      </c>
      <c r="F1391" s="76" t="s">
        <v>1325</v>
      </c>
      <c r="G1391" s="265" t="s">
        <v>1326</v>
      </c>
      <c r="H1391" s="122" t="s">
        <v>1323</v>
      </c>
      <c r="I1391" s="122"/>
      <c r="J1391" s="122"/>
      <c r="K1391" s="122"/>
      <c r="L1391" s="122"/>
      <c r="M1391" s="74">
        <v>18000000</v>
      </c>
      <c r="N1391" s="75" t="s">
        <v>654</v>
      </c>
      <c r="O1391" s="75" t="s">
        <v>203</v>
      </c>
      <c r="P1391" s="134" t="str">
        <f>IF(AND('331-CT'!$E$7=TH!H1391,OR(N1391="331",O1391="331")),"x","")</f>
        <v/>
      </c>
    </row>
    <row r="1392" spans="1:16" ht="18" hidden="1" customHeight="1">
      <c r="A1392" s="72">
        <f t="shared" si="55"/>
        <v>2016</v>
      </c>
      <c r="B1392" s="72">
        <f t="shared" si="56"/>
        <v>4</v>
      </c>
      <c r="C1392" s="73">
        <v>42462</v>
      </c>
      <c r="D1392" s="73" t="s">
        <v>93</v>
      </c>
      <c r="E1392" s="73">
        <v>42363</v>
      </c>
      <c r="F1392" s="76" t="s">
        <v>1327</v>
      </c>
      <c r="G1392" s="265" t="s">
        <v>1326</v>
      </c>
      <c r="H1392" s="122" t="s">
        <v>1323</v>
      </c>
      <c r="I1392" s="122"/>
      <c r="J1392" s="122"/>
      <c r="K1392" s="122"/>
      <c r="L1392" s="122"/>
      <c r="M1392" s="74">
        <v>1800000</v>
      </c>
      <c r="N1392" s="75" t="s">
        <v>1443</v>
      </c>
      <c r="O1392" s="75" t="s">
        <v>203</v>
      </c>
      <c r="P1392" s="134" t="str">
        <f>IF(AND('331-CT'!$E$7=TH!H1392,OR(N1392="331",O1392="331")),"x","")</f>
        <v/>
      </c>
    </row>
    <row r="1393" spans="1:16" ht="18" hidden="1" customHeight="1">
      <c r="A1393" s="72">
        <f t="shared" si="55"/>
        <v>2016</v>
      </c>
      <c r="B1393" s="72">
        <f t="shared" si="56"/>
        <v>4</v>
      </c>
      <c r="C1393" s="73">
        <v>42462</v>
      </c>
      <c r="D1393" s="73" t="s">
        <v>72</v>
      </c>
      <c r="E1393" s="73">
        <v>42377</v>
      </c>
      <c r="F1393" s="76" t="s">
        <v>1328</v>
      </c>
      <c r="G1393" s="265" t="s">
        <v>1329</v>
      </c>
      <c r="H1393" s="122" t="s">
        <v>1330</v>
      </c>
      <c r="I1393" s="122"/>
      <c r="J1393" s="122"/>
      <c r="K1393" s="122"/>
      <c r="L1393" s="122"/>
      <c r="M1393" s="74">
        <v>17792215</v>
      </c>
      <c r="N1393" s="75" t="s">
        <v>654</v>
      </c>
      <c r="O1393" s="75" t="s">
        <v>203</v>
      </c>
      <c r="P1393" s="134" t="str">
        <f>IF(AND('331-CT'!$E$7=TH!H1393,OR(N1393="331",O1393="331")),"x","")</f>
        <v/>
      </c>
    </row>
    <row r="1394" spans="1:16" ht="18" hidden="1" customHeight="1">
      <c r="A1394" s="72">
        <f t="shared" si="55"/>
        <v>2016</v>
      </c>
      <c r="B1394" s="72">
        <f t="shared" si="56"/>
        <v>4</v>
      </c>
      <c r="C1394" s="73">
        <v>42462</v>
      </c>
      <c r="D1394" s="73" t="s">
        <v>72</v>
      </c>
      <c r="E1394" s="73">
        <v>42377</v>
      </c>
      <c r="F1394" s="76" t="s">
        <v>1331</v>
      </c>
      <c r="G1394" s="265" t="s">
        <v>1329</v>
      </c>
      <c r="H1394" s="122" t="s">
        <v>1330</v>
      </c>
      <c r="I1394" s="122"/>
      <c r="J1394" s="122"/>
      <c r="K1394" s="122"/>
      <c r="L1394" s="122"/>
      <c r="M1394" s="74">
        <v>1779222</v>
      </c>
      <c r="N1394" s="75" t="s">
        <v>1443</v>
      </c>
      <c r="O1394" s="75" t="s">
        <v>203</v>
      </c>
      <c r="P1394" s="134" t="str">
        <f>IF(AND('331-CT'!$E$7=TH!H1394,OR(N1394="331",O1394="331")),"x","")</f>
        <v/>
      </c>
    </row>
    <row r="1395" spans="1:16" ht="18" hidden="1" customHeight="1">
      <c r="A1395" s="72">
        <f t="shared" ref="A1395:A1458" si="57">IF(C1395&lt;&gt;"",YEAR(C1395),"")</f>
        <v>2016</v>
      </c>
      <c r="B1395" s="72">
        <f t="shared" ref="B1395:B1458" si="58">IF(C1395&lt;&gt;"",MONTH(C1395),"")</f>
        <v>4</v>
      </c>
      <c r="C1395" s="73">
        <v>42462</v>
      </c>
      <c r="D1395" s="73" t="s">
        <v>71</v>
      </c>
      <c r="E1395" s="73">
        <v>42378</v>
      </c>
      <c r="F1395" s="76" t="s">
        <v>1332</v>
      </c>
      <c r="G1395" s="265" t="s">
        <v>1333</v>
      </c>
      <c r="H1395" s="122" t="s">
        <v>1330</v>
      </c>
      <c r="I1395" s="122"/>
      <c r="J1395" s="122"/>
      <c r="K1395" s="122"/>
      <c r="L1395" s="122"/>
      <c r="M1395" s="74">
        <v>17347890</v>
      </c>
      <c r="N1395" s="75" t="s">
        <v>654</v>
      </c>
      <c r="O1395" s="75" t="s">
        <v>203</v>
      </c>
      <c r="P1395" s="134" t="str">
        <f>IF(AND('331-CT'!$E$7=TH!H1395,OR(N1395="331",O1395="331")),"x","")</f>
        <v/>
      </c>
    </row>
    <row r="1396" spans="1:16" ht="18" hidden="1" customHeight="1">
      <c r="A1396" s="72">
        <f t="shared" si="57"/>
        <v>2016</v>
      </c>
      <c r="B1396" s="72">
        <f t="shared" si="58"/>
        <v>4</v>
      </c>
      <c r="C1396" s="73">
        <v>42462</v>
      </c>
      <c r="D1396" s="73" t="s">
        <v>71</v>
      </c>
      <c r="E1396" s="73">
        <v>42378</v>
      </c>
      <c r="F1396" s="76" t="s">
        <v>1334</v>
      </c>
      <c r="G1396" s="265" t="s">
        <v>1333</v>
      </c>
      <c r="H1396" s="122" t="s">
        <v>1330</v>
      </c>
      <c r="I1396" s="122"/>
      <c r="J1396" s="122"/>
      <c r="K1396" s="122"/>
      <c r="L1396" s="122"/>
      <c r="M1396" s="74">
        <v>1734789</v>
      </c>
      <c r="N1396" s="75" t="s">
        <v>1443</v>
      </c>
      <c r="O1396" s="75" t="s">
        <v>203</v>
      </c>
      <c r="P1396" s="134" t="str">
        <f>IF(AND('331-CT'!$E$7=TH!H1396,OR(N1396="331",O1396="331")),"x","")</f>
        <v/>
      </c>
    </row>
    <row r="1397" spans="1:16" ht="18" hidden="1" customHeight="1">
      <c r="A1397" s="72">
        <f t="shared" si="57"/>
        <v>2016</v>
      </c>
      <c r="B1397" s="72">
        <f t="shared" si="58"/>
        <v>4</v>
      </c>
      <c r="C1397" s="73">
        <v>42462</v>
      </c>
      <c r="D1397" s="73" t="s">
        <v>133</v>
      </c>
      <c r="E1397" s="73">
        <v>42379</v>
      </c>
      <c r="F1397" s="76" t="s">
        <v>1328</v>
      </c>
      <c r="G1397" s="265" t="s">
        <v>767</v>
      </c>
      <c r="H1397" s="122" t="s">
        <v>1335</v>
      </c>
      <c r="I1397" s="122"/>
      <c r="J1397" s="122"/>
      <c r="K1397" s="122"/>
      <c r="L1397" s="122"/>
      <c r="M1397" s="74">
        <v>17840000</v>
      </c>
      <c r="N1397" s="75" t="s">
        <v>654</v>
      </c>
      <c r="O1397" s="75" t="s">
        <v>203</v>
      </c>
      <c r="P1397" s="134" t="str">
        <f>IF(AND('331-CT'!$E$7=TH!H1397,OR(N1397="331",O1397="331")),"x","")</f>
        <v/>
      </c>
    </row>
    <row r="1398" spans="1:16" ht="18" hidden="1" customHeight="1">
      <c r="A1398" s="72">
        <f t="shared" si="57"/>
        <v>2016</v>
      </c>
      <c r="B1398" s="72">
        <f t="shared" si="58"/>
        <v>4</v>
      </c>
      <c r="C1398" s="73">
        <v>42462</v>
      </c>
      <c r="D1398" s="73" t="s">
        <v>133</v>
      </c>
      <c r="E1398" s="73">
        <v>42379</v>
      </c>
      <c r="F1398" s="76" t="s">
        <v>1331</v>
      </c>
      <c r="G1398" s="265" t="s">
        <v>767</v>
      </c>
      <c r="H1398" s="122" t="s">
        <v>1335</v>
      </c>
      <c r="I1398" s="122"/>
      <c r="J1398" s="122"/>
      <c r="K1398" s="122"/>
      <c r="L1398" s="122"/>
      <c r="M1398" s="74">
        <v>1784000</v>
      </c>
      <c r="N1398" s="75" t="s">
        <v>1443</v>
      </c>
      <c r="O1398" s="75" t="s">
        <v>203</v>
      </c>
      <c r="P1398" s="134" t="str">
        <f>IF(AND('331-CT'!$E$7=TH!H1398,OR(N1398="331",O1398="331")),"x","")</f>
        <v/>
      </c>
    </row>
    <row r="1399" spans="1:16" ht="18" hidden="1" customHeight="1">
      <c r="A1399" s="72">
        <f t="shared" si="57"/>
        <v>2016</v>
      </c>
      <c r="B1399" s="72">
        <f t="shared" si="58"/>
        <v>4</v>
      </c>
      <c r="C1399" s="73">
        <v>42462</v>
      </c>
      <c r="D1399" s="73" t="s">
        <v>134</v>
      </c>
      <c r="E1399" s="73">
        <v>42388</v>
      </c>
      <c r="F1399" s="76" t="s">
        <v>1336</v>
      </c>
      <c r="G1399" s="265" t="s">
        <v>1337</v>
      </c>
      <c r="H1399" s="122" t="s">
        <v>1338</v>
      </c>
      <c r="I1399" s="122"/>
      <c r="J1399" s="122"/>
      <c r="K1399" s="122"/>
      <c r="L1399" s="122"/>
      <c r="M1399" s="74">
        <v>16263636</v>
      </c>
      <c r="N1399" s="75" t="s">
        <v>654</v>
      </c>
      <c r="O1399" s="75" t="s">
        <v>203</v>
      </c>
      <c r="P1399" s="134" t="str">
        <f>IF(AND('331-CT'!$E$7=TH!H1399,OR(N1399="331",O1399="331")),"x","")</f>
        <v/>
      </c>
    </row>
    <row r="1400" spans="1:16" ht="18" hidden="1" customHeight="1">
      <c r="A1400" s="72">
        <f t="shared" si="57"/>
        <v>2016</v>
      </c>
      <c r="B1400" s="72">
        <f t="shared" si="58"/>
        <v>4</v>
      </c>
      <c r="C1400" s="73">
        <v>42462</v>
      </c>
      <c r="D1400" s="73" t="s">
        <v>134</v>
      </c>
      <c r="E1400" s="73">
        <v>42388</v>
      </c>
      <c r="F1400" s="76" t="s">
        <v>1339</v>
      </c>
      <c r="G1400" s="265" t="s">
        <v>1337</v>
      </c>
      <c r="H1400" s="122" t="s">
        <v>1338</v>
      </c>
      <c r="I1400" s="122"/>
      <c r="J1400" s="122"/>
      <c r="K1400" s="122"/>
      <c r="L1400" s="122"/>
      <c r="M1400" s="74">
        <v>1626364</v>
      </c>
      <c r="N1400" s="75" t="s">
        <v>1443</v>
      </c>
      <c r="O1400" s="75" t="s">
        <v>203</v>
      </c>
      <c r="P1400" s="134" t="str">
        <f>IF(AND('331-CT'!$E$7=TH!H1400,OR(N1400="331",O1400="331")),"x","")</f>
        <v/>
      </c>
    </row>
    <row r="1401" spans="1:16" ht="18" hidden="1" customHeight="1">
      <c r="A1401" s="72">
        <f t="shared" si="57"/>
        <v>2016</v>
      </c>
      <c r="B1401" s="72">
        <f t="shared" si="58"/>
        <v>4</v>
      </c>
      <c r="C1401" s="73">
        <v>42462</v>
      </c>
      <c r="D1401" s="73" t="s">
        <v>135</v>
      </c>
      <c r="E1401" s="73">
        <v>42462</v>
      </c>
      <c r="F1401" s="76" t="s">
        <v>1186</v>
      </c>
      <c r="G1401" s="265" t="s">
        <v>1340</v>
      </c>
      <c r="H1401" s="122" t="s">
        <v>828</v>
      </c>
      <c r="I1401" s="122"/>
      <c r="J1401" s="122"/>
      <c r="K1401" s="122"/>
      <c r="L1401" s="122"/>
      <c r="M1401" s="74">
        <v>1935000</v>
      </c>
      <c r="N1401" s="75" t="s">
        <v>654</v>
      </c>
      <c r="O1401" s="75" t="s">
        <v>203</v>
      </c>
      <c r="P1401" s="134" t="str">
        <f>IF(AND('331-CT'!$E$7=TH!H1401,OR(N1401="331",O1401="331")),"x","")</f>
        <v/>
      </c>
    </row>
    <row r="1402" spans="1:16" ht="18" hidden="1" customHeight="1">
      <c r="A1402" s="72">
        <f t="shared" si="57"/>
        <v>2016</v>
      </c>
      <c r="B1402" s="72">
        <f t="shared" si="58"/>
        <v>4</v>
      </c>
      <c r="C1402" s="73">
        <v>42462</v>
      </c>
      <c r="D1402" s="73" t="s">
        <v>154</v>
      </c>
      <c r="E1402" s="73">
        <v>42462</v>
      </c>
      <c r="F1402" s="76" t="s">
        <v>1341</v>
      </c>
      <c r="G1402" s="265"/>
      <c r="H1402" s="122" t="s">
        <v>430</v>
      </c>
      <c r="I1402" s="122"/>
      <c r="J1402" s="122"/>
      <c r="K1402" s="122"/>
      <c r="L1402" s="122"/>
      <c r="M1402" s="74">
        <v>2200000</v>
      </c>
      <c r="N1402" s="75" t="s">
        <v>241</v>
      </c>
      <c r="O1402" s="75" t="s">
        <v>203</v>
      </c>
      <c r="P1402" s="134" t="str">
        <f>IF(AND('331-CT'!$E$7=TH!H1402,OR(N1402="331",O1402="331")),"x","")</f>
        <v/>
      </c>
    </row>
    <row r="1403" spans="1:16" ht="18" hidden="1" customHeight="1">
      <c r="A1403" s="72">
        <f t="shared" si="57"/>
        <v>2016</v>
      </c>
      <c r="B1403" s="72">
        <f t="shared" si="58"/>
        <v>4</v>
      </c>
      <c r="C1403" s="73">
        <v>42462</v>
      </c>
      <c r="D1403" s="73" t="s">
        <v>154</v>
      </c>
      <c r="E1403" s="73">
        <v>42462</v>
      </c>
      <c r="F1403" s="76" t="s">
        <v>1342</v>
      </c>
      <c r="G1403" s="265"/>
      <c r="H1403" s="122" t="s">
        <v>430</v>
      </c>
      <c r="I1403" s="122"/>
      <c r="J1403" s="122"/>
      <c r="K1403" s="122"/>
      <c r="L1403" s="122"/>
      <c r="M1403" s="74">
        <v>220000</v>
      </c>
      <c r="N1403" s="75" t="s">
        <v>19</v>
      </c>
      <c r="O1403" s="75" t="s">
        <v>203</v>
      </c>
      <c r="P1403" s="134" t="str">
        <f>IF(AND('331-CT'!$E$7=TH!H1403,OR(N1403="331",O1403="331")),"x","")</f>
        <v/>
      </c>
    </row>
    <row r="1404" spans="1:16" ht="18" hidden="1" customHeight="1">
      <c r="A1404" s="72">
        <f t="shared" si="57"/>
        <v>2016</v>
      </c>
      <c r="B1404" s="72">
        <f t="shared" si="58"/>
        <v>4</v>
      </c>
      <c r="C1404" s="73">
        <v>42467</v>
      </c>
      <c r="D1404" s="73" t="s">
        <v>157</v>
      </c>
      <c r="E1404" s="73">
        <v>42467</v>
      </c>
      <c r="F1404" s="76" t="s">
        <v>1186</v>
      </c>
      <c r="G1404" s="265" t="s">
        <v>1343</v>
      </c>
      <c r="H1404" s="122" t="s">
        <v>828</v>
      </c>
      <c r="I1404" s="122"/>
      <c r="J1404" s="122"/>
      <c r="K1404" s="122"/>
      <c r="L1404" s="122"/>
      <c r="M1404" s="74">
        <v>1287000</v>
      </c>
      <c r="N1404" s="75" t="s">
        <v>654</v>
      </c>
      <c r="O1404" s="75" t="s">
        <v>203</v>
      </c>
      <c r="P1404" s="134" t="str">
        <f>IF(AND('331-CT'!$E$7=TH!H1404,OR(N1404="331",O1404="331")),"x","")</f>
        <v/>
      </c>
    </row>
    <row r="1405" spans="1:16" ht="18" hidden="1" customHeight="1">
      <c r="A1405" s="72">
        <f t="shared" si="57"/>
        <v>2016</v>
      </c>
      <c r="B1405" s="72">
        <f t="shared" si="58"/>
        <v>4</v>
      </c>
      <c r="C1405" s="73">
        <v>42470</v>
      </c>
      <c r="D1405" s="73" t="s">
        <v>158</v>
      </c>
      <c r="E1405" s="73">
        <v>42470</v>
      </c>
      <c r="F1405" s="76" t="s">
        <v>1344</v>
      </c>
      <c r="G1405" s="265" t="s">
        <v>1345</v>
      </c>
      <c r="H1405" s="122" t="s">
        <v>782</v>
      </c>
      <c r="I1405" s="122"/>
      <c r="J1405" s="122"/>
      <c r="K1405" s="122"/>
      <c r="L1405" s="122"/>
      <c r="M1405" s="74">
        <v>6818182</v>
      </c>
      <c r="N1405" s="75" t="s">
        <v>241</v>
      </c>
      <c r="O1405" s="75" t="s">
        <v>203</v>
      </c>
      <c r="P1405" s="134" t="str">
        <f>IF(AND('331-CT'!$E$7=TH!H1405,OR(N1405="331",O1405="331")),"x","")</f>
        <v/>
      </c>
    </row>
    <row r="1406" spans="1:16" ht="18" hidden="1" customHeight="1">
      <c r="A1406" s="72">
        <f t="shared" si="57"/>
        <v>2016</v>
      </c>
      <c r="B1406" s="72">
        <f t="shared" si="58"/>
        <v>4</v>
      </c>
      <c r="C1406" s="73">
        <v>42470</v>
      </c>
      <c r="D1406" s="73" t="s">
        <v>158</v>
      </c>
      <c r="E1406" s="73">
        <v>42470</v>
      </c>
      <c r="F1406" s="76" t="s">
        <v>1346</v>
      </c>
      <c r="G1406" s="265" t="s">
        <v>1345</v>
      </c>
      <c r="H1406" s="122" t="s">
        <v>782</v>
      </c>
      <c r="I1406" s="122"/>
      <c r="J1406" s="122"/>
      <c r="K1406" s="122"/>
      <c r="L1406" s="122"/>
      <c r="M1406" s="74">
        <v>681818</v>
      </c>
      <c r="N1406" s="75" t="s">
        <v>19</v>
      </c>
      <c r="O1406" s="75" t="s">
        <v>203</v>
      </c>
      <c r="P1406" s="134" t="str">
        <f>IF(AND('331-CT'!$E$7=TH!H1406,OR(N1406="331",O1406="331")),"x","")</f>
        <v/>
      </c>
    </row>
    <row r="1407" spans="1:16" ht="18" hidden="1" customHeight="1">
      <c r="A1407" s="72">
        <f t="shared" si="57"/>
        <v>2016</v>
      </c>
      <c r="B1407" s="72">
        <f t="shared" si="58"/>
        <v>4</v>
      </c>
      <c r="C1407" s="73">
        <v>42471</v>
      </c>
      <c r="D1407" s="73" t="s">
        <v>163</v>
      </c>
      <c r="E1407" s="73">
        <v>42471</v>
      </c>
      <c r="F1407" s="76" t="s">
        <v>61</v>
      </c>
      <c r="G1407" s="265" t="s">
        <v>1347</v>
      </c>
      <c r="H1407" s="122" t="s">
        <v>1348</v>
      </c>
      <c r="I1407" s="122"/>
      <c r="J1407" s="122"/>
      <c r="K1407" s="122"/>
      <c r="L1407" s="122"/>
      <c r="M1407" s="74">
        <v>200000</v>
      </c>
      <c r="N1407" s="75" t="s">
        <v>241</v>
      </c>
      <c r="O1407" s="75" t="s">
        <v>203</v>
      </c>
      <c r="P1407" s="134" t="str">
        <f>IF(AND('331-CT'!$E$7=TH!H1407,OR(N1407="331",O1407="331")),"x","")</f>
        <v/>
      </c>
    </row>
    <row r="1408" spans="1:16" ht="18" hidden="1" customHeight="1">
      <c r="A1408" s="72">
        <f t="shared" si="57"/>
        <v>2016</v>
      </c>
      <c r="B1408" s="72">
        <f t="shared" si="58"/>
        <v>4</v>
      </c>
      <c r="C1408" s="73">
        <v>42471</v>
      </c>
      <c r="D1408" s="73" t="s">
        <v>163</v>
      </c>
      <c r="E1408" s="73">
        <v>42471</v>
      </c>
      <c r="F1408" s="76" t="s">
        <v>1349</v>
      </c>
      <c r="G1408" s="265" t="s">
        <v>1347</v>
      </c>
      <c r="H1408" s="122" t="s">
        <v>1348</v>
      </c>
      <c r="I1408" s="122"/>
      <c r="J1408" s="122"/>
      <c r="K1408" s="122"/>
      <c r="L1408" s="122"/>
      <c r="M1408" s="74">
        <v>20000</v>
      </c>
      <c r="N1408" s="75" t="s">
        <v>19</v>
      </c>
      <c r="O1408" s="75" t="s">
        <v>203</v>
      </c>
      <c r="P1408" s="134" t="str">
        <f>IF(AND('331-CT'!$E$7=TH!H1408,OR(N1408="331",O1408="331")),"x","")</f>
        <v/>
      </c>
    </row>
    <row r="1409" spans="1:16" ht="18" hidden="1" customHeight="1">
      <c r="A1409" s="72">
        <f t="shared" si="57"/>
        <v>2016</v>
      </c>
      <c r="B1409" s="72">
        <f t="shared" si="58"/>
        <v>4</v>
      </c>
      <c r="C1409" s="73">
        <v>42471</v>
      </c>
      <c r="D1409" s="73" t="s">
        <v>78</v>
      </c>
      <c r="E1409" s="73">
        <v>42471</v>
      </c>
      <c r="F1409" s="76" t="s">
        <v>1428</v>
      </c>
      <c r="G1409" s="265" t="s">
        <v>1429</v>
      </c>
      <c r="H1409" s="122" t="s">
        <v>648</v>
      </c>
      <c r="I1409" s="122"/>
      <c r="J1409" s="122"/>
      <c r="K1409" s="122"/>
      <c r="L1409" s="122"/>
      <c r="M1409" s="74">
        <v>46496600</v>
      </c>
      <c r="N1409" s="75" t="s">
        <v>241</v>
      </c>
      <c r="O1409" s="75" t="s">
        <v>18</v>
      </c>
      <c r="P1409" s="134" t="str">
        <f>IF(AND('331-CT'!$E$7=TH!H1409,OR(N1409="331",O1409="331")),"x","")</f>
        <v/>
      </c>
    </row>
    <row r="1410" spans="1:16" ht="18" hidden="1" customHeight="1">
      <c r="A1410" s="72">
        <f t="shared" si="57"/>
        <v>2016</v>
      </c>
      <c r="B1410" s="72">
        <f t="shared" si="58"/>
        <v>4</v>
      </c>
      <c r="C1410" s="73">
        <v>42471</v>
      </c>
      <c r="D1410" s="73" t="s">
        <v>78</v>
      </c>
      <c r="E1410" s="73">
        <v>42471</v>
      </c>
      <c r="F1410" s="76" t="s">
        <v>1430</v>
      </c>
      <c r="G1410" s="265" t="s">
        <v>1429</v>
      </c>
      <c r="H1410" s="122" t="s">
        <v>648</v>
      </c>
      <c r="I1410" s="122"/>
      <c r="J1410" s="122"/>
      <c r="K1410" s="122"/>
      <c r="L1410" s="122"/>
      <c r="M1410" s="74">
        <v>4649660</v>
      </c>
      <c r="N1410" s="75" t="s">
        <v>19</v>
      </c>
      <c r="O1410" s="75" t="s">
        <v>18</v>
      </c>
      <c r="P1410" s="134" t="str">
        <f>IF(AND('331-CT'!$E$7=TH!H1410,OR(N1410="331",O1410="331")),"x","")</f>
        <v/>
      </c>
    </row>
    <row r="1411" spans="1:16" ht="18" hidden="1" customHeight="1">
      <c r="A1411" s="72">
        <f t="shared" si="57"/>
        <v>2016</v>
      </c>
      <c r="B1411" s="72">
        <f t="shared" si="58"/>
        <v>4</v>
      </c>
      <c r="C1411" s="73">
        <v>42472</v>
      </c>
      <c r="D1411" s="73" t="s">
        <v>164</v>
      </c>
      <c r="E1411" s="73">
        <v>42472</v>
      </c>
      <c r="F1411" s="76" t="s">
        <v>1186</v>
      </c>
      <c r="G1411" s="265" t="s">
        <v>1350</v>
      </c>
      <c r="H1411" s="122" t="s">
        <v>828</v>
      </c>
      <c r="I1411" s="122"/>
      <c r="J1411" s="122"/>
      <c r="K1411" s="122"/>
      <c r="L1411" s="122"/>
      <c r="M1411" s="74">
        <v>1388000</v>
      </c>
      <c r="N1411" s="75" t="s">
        <v>654</v>
      </c>
      <c r="O1411" s="75" t="s">
        <v>203</v>
      </c>
      <c r="P1411" s="134" t="str">
        <f>IF(AND('331-CT'!$E$7=TH!H1411,OR(N1411="331",O1411="331")),"x","")</f>
        <v/>
      </c>
    </row>
    <row r="1412" spans="1:16" ht="18" hidden="1" customHeight="1">
      <c r="A1412" s="72">
        <f t="shared" si="57"/>
        <v>2016</v>
      </c>
      <c r="B1412" s="72">
        <f t="shared" si="58"/>
        <v>4</v>
      </c>
      <c r="C1412" s="73">
        <v>42472</v>
      </c>
      <c r="D1412" s="73" t="s">
        <v>1257</v>
      </c>
      <c r="E1412" s="73">
        <v>42472</v>
      </c>
      <c r="F1412" s="76" t="s">
        <v>1351</v>
      </c>
      <c r="G1412" s="265" t="s">
        <v>1352</v>
      </c>
      <c r="H1412" s="122" t="s">
        <v>1260</v>
      </c>
      <c r="I1412" s="122">
        <v>3000</v>
      </c>
      <c r="J1412" s="122">
        <v>800</v>
      </c>
      <c r="K1412" s="122"/>
      <c r="L1412" s="122"/>
      <c r="M1412" s="74">
        <v>2400000</v>
      </c>
      <c r="N1412" s="75" t="s">
        <v>1261</v>
      </c>
      <c r="O1412" s="75" t="s">
        <v>18</v>
      </c>
      <c r="P1412" s="134" t="str">
        <f>IF(AND('331-CT'!$E$7=TH!H1412,OR(N1412="331",O1412="331")),"x","")</f>
        <v/>
      </c>
    </row>
    <row r="1413" spans="1:16" ht="18" hidden="1" customHeight="1">
      <c r="A1413" s="72">
        <f t="shared" si="57"/>
        <v>2016</v>
      </c>
      <c r="B1413" s="72">
        <f t="shared" si="58"/>
        <v>4</v>
      </c>
      <c r="C1413" s="73">
        <v>42472</v>
      </c>
      <c r="D1413" s="73" t="s">
        <v>1257</v>
      </c>
      <c r="E1413" s="73">
        <v>42472</v>
      </c>
      <c r="F1413" s="76" t="s">
        <v>1353</v>
      </c>
      <c r="G1413" s="265" t="s">
        <v>1352</v>
      </c>
      <c r="H1413" s="122" t="s">
        <v>1260</v>
      </c>
      <c r="I1413" s="122">
        <v>2000</v>
      </c>
      <c r="J1413" s="122">
        <v>900</v>
      </c>
      <c r="K1413" s="122"/>
      <c r="L1413" s="122"/>
      <c r="M1413" s="74">
        <v>1800000</v>
      </c>
      <c r="N1413" s="75" t="s">
        <v>1261</v>
      </c>
      <c r="O1413" s="75" t="s">
        <v>18</v>
      </c>
      <c r="P1413" s="134" t="str">
        <f>IF(AND('331-CT'!$E$7=TH!H1413,OR(N1413="331",O1413="331")),"x","")</f>
        <v/>
      </c>
    </row>
    <row r="1414" spans="1:16" ht="18" hidden="1" customHeight="1">
      <c r="A1414" s="72">
        <f t="shared" si="57"/>
        <v>2016</v>
      </c>
      <c r="B1414" s="72">
        <f t="shared" si="58"/>
        <v>4</v>
      </c>
      <c r="C1414" s="73">
        <v>42472</v>
      </c>
      <c r="D1414" s="73" t="s">
        <v>1257</v>
      </c>
      <c r="E1414" s="73">
        <v>42472</v>
      </c>
      <c r="F1414" s="76" t="s">
        <v>1354</v>
      </c>
      <c r="G1414" s="265" t="s">
        <v>1352</v>
      </c>
      <c r="H1414" s="122" t="s">
        <v>1260</v>
      </c>
      <c r="I1414" s="122"/>
      <c r="J1414" s="122"/>
      <c r="K1414" s="122"/>
      <c r="L1414" s="122"/>
      <c r="M1414" s="74">
        <v>420000</v>
      </c>
      <c r="N1414" s="75" t="s">
        <v>19</v>
      </c>
      <c r="O1414" s="75" t="s">
        <v>18</v>
      </c>
      <c r="P1414" s="134" t="str">
        <f>IF(AND('331-CT'!$E$7=TH!H1414,OR(N1414="331",O1414="331")),"x","")</f>
        <v/>
      </c>
    </row>
    <row r="1415" spans="1:16" ht="18" hidden="1" customHeight="1">
      <c r="A1415" s="72">
        <f t="shared" si="57"/>
        <v>2016</v>
      </c>
      <c r="B1415" s="72">
        <f t="shared" si="58"/>
        <v>4</v>
      </c>
      <c r="C1415" s="73">
        <v>42474</v>
      </c>
      <c r="D1415" s="73" t="s">
        <v>165</v>
      </c>
      <c r="E1415" s="73">
        <v>42474</v>
      </c>
      <c r="F1415" s="76" t="s">
        <v>1355</v>
      </c>
      <c r="G1415" s="265" t="s">
        <v>1356</v>
      </c>
      <c r="H1415" s="122" t="s">
        <v>1357</v>
      </c>
      <c r="I1415" s="122"/>
      <c r="J1415" s="122"/>
      <c r="K1415" s="122"/>
      <c r="L1415" s="122"/>
      <c r="M1415" s="74">
        <v>50000</v>
      </c>
      <c r="N1415" s="75" t="s">
        <v>241</v>
      </c>
      <c r="O1415" s="75" t="s">
        <v>203</v>
      </c>
      <c r="P1415" s="134" t="str">
        <f>IF(AND('331-CT'!$E$7=TH!H1415,OR(N1415="331",O1415="331")),"x","")</f>
        <v/>
      </c>
    </row>
    <row r="1416" spans="1:16" ht="18" hidden="1" customHeight="1">
      <c r="A1416" s="72">
        <f t="shared" si="57"/>
        <v>2016</v>
      </c>
      <c r="B1416" s="72">
        <f t="shared" si="58"/>
        <v>4</v>
      </c>
      <c r="C1416" s="73">
        <v>42474</v>
      </c>
      <c r="D1416" s="73" t="s">
        <v>166</v>
      </c>
      <c r="E1416" s="73">
        <v>42474</v>
      </c>
      <c r="F1416" s="76" t="s">
        <v>1358</v>
      </c>
      <c r="G1416" s="265" t="s">
        <v>1359</v>
      </c>
      <c r="H1416" s="122" t="s">
        <v>1360</v>
      </c>
      <c r="I1416" s="122"/>
      <c r="J1416" s="122"/>
      <c r="K1416" s="122"/>
      <c r="L1416" s="122"/>
      <c r="M1416" s="74">
        <v>2220000</v>
      </c>
      <c r="N1416" s="75" t="s">
        <v>654</v>
      </c>
      <c r="O1416" s="75" t="s">
        <v>203</v>
      </c>
      <c r="P1416" s="134" t="str">
        <f>IF(AND('331-CT'!$E$7=TH!H1416,OR(N1416="331",O1416="331")),"x","")</f>
        <v/>
      </c>
    </row>
    <row r="1417" spans="1:16" ht="18" hidden="1" customHeight="1">
      <c r="A1417" s="72">
        <f t="shared" si="57"/>
        <v>2016</v>
      </c>
      <c r="B1417" s="72">
        <f t="shared" si="58"/>
        <v>4</v>
      </c>
      <c r="C1417" s="73">
        <v>42480</v>
      </c>
      <c r="D1417" s="73" t="s">
        <v>167</v>
      </c>
      <c r="E1417" s="73">
        <v>42480</v>
      </c>
      <c r="F1417" s="76" t="s">
        <v>1361</v>
      </c>
      <c r="G1417" s="265" t="s">
        <v>1362</v>
      </c>
      <c r="H1417" s="122" t="s">
        <v>279</v>
      </c>
      <c r="I1417" s="122"/>
      <c r="J1417" s="122"/>
      <c r="K1417" s="122"/>
      <c r="L1417" s="122"/>
      <c r="M1417" s="74">
        <v>624798</v>
      </c>
      <c r="N1417" s="75" t="s">
        <v>241</v>
      </c>
      <c r="O1417" s="75" t="s">
        <v>203</v>
      </c>
      <c r="P1417" s="134" t="str">
        <f>IF(AND('331-CT'!$E$7=TH!H1417,OR(N1417="331",O1417="331")),"x","")</f>
        <v/>
      </c>
    </row>
    <row r="1418" spans="1:16" ht="18" hidden="1" customHeight="1">
      <c r="A1418" s="72">
        <f t="shared" si="57"/>
        <v>2016</v>
      </c>
      <c r="B1418" s="72">
        <f t="shared" si="58"/>
        <v>4</v>
      </c>
      <c r="C1418" s="73">
        <v>42480</v>
      </c>
      <c r="D1418" s="73" t="s">
        <v>167</v>
      </c>
      <c r="E1418" s="73">
        <v>42480</v>
      </c>
      <c r="F1418" s="76" t="s">
        <v>1363</v>
      </c>
      <c r="G1418" s="265" t="s">
        <v>1362</v>
      </c>
      <c r="H1418" s="122" t="s">
        <v>279</v>
      </c>
      <c r="I1418" s="122"/>
      <c r="J1418" s="122"/>
      <c r="K1418" s="122"/>
      <c r="L1418" s="122"/>
      <c r="M1418" s="74">
        <v>62479</v>
      </c>
      <c r="N1418" s="75" t="s">
        <v>19</v>
      </c>
      <c r="O1418" s="75" t="s">
        <v>203</v>
      </c>
      <c r="P1418" s="134" t="str">
        <f>IF(AND('331-CT'!$E$7=TH!H1418,OR(N1418="331",O1418="331")),"x","")</f>
        <v/>
      </c>
    </row>
    <row r="1419" spans="1:16" ht="18" hidden="1" customHeight="1">
      <c r="A1419" s="72">
        <f t="shared" si="57"/>
        <v>2016</v>
      </c>
      <c r="B1419" s="72">
        <f t="shared" si="58"/>
        <v>4</v>
      </c>
      <c r="C1419" s="73">
        <v>42480</v>
      </c>
      <c r="D1419" s="73" t="s">
        <v>168</v>
      </c>
      <c r="E1419" s="73">
        <v>42480</v>
      </c>
      <c r="F1419" s="76" t="s">
        <v>1271</v>
      </c>
      <c r="G1419" s="265" t="s">
        <v>1364</v>
      </c>
      <c r="H1419" s="122" t="s">
        <v>83</v>
      </c>
      <c r="I1419" s="122"/>
      <c r="J1419" s="122"/>
      <c r="K1419" s="122"/>
      <c r="L1419" s="122"/>
      <c r="M1419" s="74">
        <v>6523636</v>
      </c>
      <c r="N1419" s="75" t="s">
        <v>241</v>
      </c>
      <c r="O1419" s="75" t="s">
        <v>203</v>
      </c>
      <c r="P1419" s="134" t="str">
        <f>IF(AND('331-CT'!$E$7=TH!H1419,OR(N1419="331",O1419="331")),"x","")</f>
        <v/>
      </c>
    </row>
    <row r="1420" spans="1:16" ht="18" hidden="1" customHeight="1">
      <c r="A1420" s="72">
        <f t="shared" si="57"/>
        <v>2016</v>
      </c>
      <c r="B1420" s="72">
        <f t="shared" si="58"/>
        <v>4</v>
      </c>
      <c r="C1420" s="73">
        <v>42480</v>
      </c>
      <c r="D1420" s="73" t="s">
        <v>168</v>
      </c>
      <c r="E1420" s="73">
        <v>42480</v>
      </c>
      <c r="F1420" s="76" t="s">
        <v>1273</v>
      </c>
      <c r="G1420" s="265" t="s">
        <v>1364</v>
      </c>
      <c r="H1420" s="122" t="s">
        <v>83</v>
      </c>
      <c r="I1420" s="122"/>
      <c r="J1420" s="122"/>
      <c r="K1420" s="122"/>
      <c r="L1420" s="122"/>
      <c r="M1420" s="74">
        <v>652364</v>
      </c>
      <c r="N1420" s="75" t="s">
        <v>19</v>
      </c>
      <c r="O1420" s="75" t="s">
        <v>203</v>
      </c>
      <c r="P1420" s="134" t="str">
        <f>IF(AND('331-CT'!$E$7=TH!H1420,OR(N1420="331",O1420="331")),"x","")</f>
        <v/>
      </c>
    </row>
    <row r="1421" spans="1:16" ht="18" hidden="1" customHeight="1">
      <c r="A1421" s="72">
        <f t="shared" si="57"/>
        <v>2016</v>
      </c>
      <c r="B1421" s="72">
        <f t="shared" si="58"/>
        <v>4</v>
      </c>
      <c r="C1421" s="73">
        <v>42481</v>
      </c>
      <c r="D1421" s="73" t="s">
        <v>21</v>
      </c>
      <c r="E1421" s="73">
        <v>42481</v>
      </c>
      <c r="F1421" s="76" t="s">
        <v>1266</v>
      </c>
      <c r="G1421" s="265" t="s">
        <v>1242</v>
      </c>
      <c r="H1421" s="122" t="s">
        <v>1200</v>
      </c>
      <c r="I1421" s="122"/>
      <c r="J1421" s="122"/>
      <c r="K1421" s="122"/>
      <c r="L1421" s="122"/>
      <c r="M1421" s="74">
        <v>40000000</v>
      </c>
      <c r="N1421" s="75" t="s">
        <v>54</v>
      </c>
      <c r="O1421" s="75" t="s">
        <v>39</v>
      </c>
      <c r="P1421" s="134" t="str">
        <f>IF(AND('331-CT'!$E$7=TH!H1421,OR(N1421="331",O1421="331")),"x","")</f>
        <v/>
      </c>
    </row>
    <row r="1422" spans="1:16" ht="18" hidden="1" customHeight="1">
      <c r="A1422" s="72">
        <f t="shared" si="57"/>
        <v>2016</v>
      </c>
      <c r="B1422" s="72">
        <f t="shared" si="58"/>
        <v>4</v>
      </c>
      <c r="C1422" s="73">
        <v>42481</v>
      </c>
      <c r="D1422" s="73" t="s">
        <v>169</v>
      </c>
      <c r="E1422" s="73">
        <v>42481</v>
      </c>
      <c r="F1422" s="76" t="s">
        <v>1227</v>
      </c>
      <c r="G1422" s="265" t="s">
        <v>1242</v>
      </c>
      <c r="H1422" s="122" t="s">
        <v>1200</v>
      </c>
      <c r="I1422" s="122"/>
      <c r="J1422" s="122"/>
      <c r="K1422" s="122"/>
      <c r="L1422" s="122"/>
      <c r="M1422" s="74">
        <v>40000000</v>
      </c>
      <c r="N1422" s="75" t="s">
        <v>39</v>
      </c>
      <c r="O1422" s="75" t="s">
        <v>203</v>
      </c>
      <c r="P1422" s="134" t="str">
        <f>IF(AND('331-CT'!$E$7=TH!H1422,OR(N1422="331",O1422="331")),"x","")</f>
        <v/>
      </c>
    </row>
    <row r="1423" spans="1:16" ht="18" hidden="1" customHeight="1">
      <c r="A1423" s="72">
        <f t="shared" si="57"/>
        <v>2016</v>
      </c>
      <c r="B1423" s="72">
        <f t="shared" si="58"/>
        <v>4</v>
      </c>
      <c r="C1423" s="73">
        <v>42481</v>
      </c>
      <c r="D1423" s="73" t="s">
        <v>170</v>
      </c>
      <c r="E1423" s="73">
        <v>42481</v>
      </c>
      <c r="F1423" s="76" t="s">
        <v>1195</v>
      </c>
      <c r="G1423" s="265" t="s">
        <v>1242</v>
      </c>
      <c r="H1423" s="122" t="s">
        <v>271</v>
      </c>
      <c r="I1423" s="122"/>
      <c r="J1423" s="122"/>
      <c r="K1423" s="122"/>
      <c r="L1423" s="122"/>
      <c r="M1423" s="74">
        <v>130000000</v>
      </c>
      <c r="N1423" s="75" t="s">
        <v>54</v>
      </c>
      <c r="O1423" s="75" t="s">
        <v>203</v>
      </c>
      <c r="P1423" s="134" t="str">
        <f>IF(AND('331-CT'!$E$7=TH!H1423,OR(N1423="331",O1423="331")),"x","")</f>
        <v/>
      </c>
    </row>
    <row r="1424" spans="1:16" ht="18" hidden="1" customHeight="1">
      <c r="A1424" s="72">
        <f t="shared" si="57"/>
        <v>2016</v>
      </c>
      <c r="B1424" s="72">
        <f t="shared" si="58"/>
        <v>4</v>
      </c>
      <c r="C1424" s="73">
        <v>42481</v>
      </c>
      <c r="D1424" s="73" t="s">
        <v>170</v>
      </c>
      <c r="E1424" s="73">
        <v>42481</v>
      </c>
      <c r="F1424" s="76" t="s">
        <v>1195</v>
      </c>
      <c r="G1424" s="265" t="s">
        <v>1242</v>
      </c>
      <c r="H1424" s="122" t="s">
        <v>271</v>
      </c>
      <c r="I1424" s="122"/>
      <c r="J1424" s="122"/>
      <c r="K1424" s="122"/>
      <c r="L1424" s="122"/>
      <c r="M1424" s="74">
        <v>60000000</v>
      </c>
      <c r="N1424" s="75" t="s">
        <v>54</v>
      </c>
      <c r="O1424" s="75" t="s">
        <v>203</v>
      </c>
      <c r="P1424" s="134" t="str">
        <f>IF(AND('331-CT'!$E$7=TH!H1424,OR(N1424="331",O1424="331")),"x","")</f>
        <v/>
      </c>
    </row>
    <row r="1425" spans="1:16" ht="18" hidden="1" customHeight="1">
      <c r="A1425" s="72">
        <f t="shared" si="57"/>
        <v>2016</v>
      </c>
      <c r="B1425" s="72">
        <f t="shared" si="58"/>
        <v>4</v>
      </c>
      <c r="C1425" s="73">
        <v>42481</v>
      </c>
      <c r="D1425" s="73" t="s">
        <v>17</v>
      </c>
      <c r="E1425" s="73">
        <v>42481</v>
      </c>
      <c r="F1425" s="76" t="s">
        <v>1194</v>
      </c>
      <c r="G1425" s="265" t="s">
        <v>1242</v>
      </c>
      <c r="H1425" s="122" t="s">
        <v>313</v>
      </c>
      <c r="I1425" s="122"/>
      <c r="J1425" s="122"/>
      <c r="K1425" s="122"/>
      <c r="L1425" s="122"/>
      <c r="M1425" s="74">
        <v>8187032</v>
      </c>
      <c r="N1425" s="75" t="s">
        <v>239</v>
      </c>
      <c r="O1425" s="75" t="s">
        <v>54</v>
      </c>
      <c r="P1425" s="134" t="str">
        <f>IF(AND('331-CT'!$E$7=TH!H1425,OR(N1425="331",O1425="331")),"x","")</f>
        <v/>
      </c>
    </row>
    <row r="1426" spans="1:16" ht="18" hidden="1" customHeight="1">
      <c r="A1426" s="72">
        <f t="shared" si="57"/>
        <v>2016</v>
      </c>
      <c r="B1426" s="72">
        <f t="shared" si="58"/>
        <v>4</v>
      </c>
      <c r="C1426" s="73">
        <v>42481</v>
      </c>
      <c r="D1426" s="73" t="s">
        <v>17</v>
      </c>
      <c r="E1426" s="73">
        <v>42481</v>
      </c>
      <c r="F1426" s="76" t="s">
        <v>1194</v>
      </c>
      <c r="G1426" s="265" t="s">
        <v>1242</v>
      </c>
      <c r="H1426" s="122" t="s">
        <v>314</v>
      </c>
      <c r="I1426" s="122"/>
      <c r="J1426" s="122"/>
      <c r="K1426" s="122"/>
      <c r="L1426" s="122"/>
      <c r="M1426" s="74">
        <v>16374064</v>
      </c>
      <c r="N1426" s="75" t="s">
        <v>239</v>
      </c>
      <c r="O1426" s="75" t="s">
        <v>54</v>
      </c>
      <c r="P1426" s="134" t="str">
        <f>IF(AND('331-CT'!$E$7=TH!H1426,OR(N1426="331",O1426="331")),"x","")</f>
        <v/>
      </c>
    </row>
    <row r="1427" spans="1:16" ht="18" hidden="1" customHeight="1">
      <c r="A1427" s="72">
        <f t="shared" si="57"/>
        <v>2016</v>
      </c>
      <c r="B1427" s="72">
        <f t="shared" si="58"/>
        <v>4</v>
      </c>
      <c r="C1427" s="73">
        <v>42481</v>
      </c>
      <c r="D1427" s="73" t="s">
        <v>17</v>
      </c>
      <c r="E1427" s="73">
        <v>42481</v>
      </c>
      <c r="F1427" s="76" t="s">
        <v>1194</v>
      </c>
      <c r="G1427" s="265" t="s">
        <v>1242</v>
      </c>
      <c r="H1427" s="122" t="s">
        <v>316</v>
      </c>
      <c r="I1427" s="122"/>
      <c r="J1427" s="122"/>
      <c r="K1427" s="122"/>
      <c r="L1427" s="122"/>
      <c r="M1427" s="74">
        <v>13099251</v>
      </c>
      <c r="N1427" s="75" t="s">
        <v>239</v>
      </c>
      <c r="O1427" s="75" t="s">
        <v>54</v>
      </c>
      <c r="P1427" s="134" t="str">
        <f>IF(AND('331-CT'!$E$7=TH!H1427,OR(N1427="331",O1427="331")),"x","")</f>
        <v/>
      </c>
    </row>
    <row r="1428" spans="1:16" ht="18" hidden="1" customHeight="1">
      <c r="A1428" s="72">
        <f t="shared" si="57"/>
        <v>2016</v>
      </c>
      <c r="B1428" s="72">
        <f t="shared" si="58"/>
        <v>4</v>
      </c>
      <c r="C1428" s="73">
        <v>42481</v>
      </c>
      <c r="D1428" s="73" t="s">
        <v>17</v>
      </c>
      <c r="E1428" s="73">
        <v>42481</v>
      </c>
      <c r="F1428" s="76" t="s">
        <v>1194</v>
      </c>
      <c r="G1428" s="265" t="s">
        <v>1242</v>
      </c>
      <c r="H1428" s="122" t="s">
        <v>315</v>
      </c>
      <c r="I1428" s="122"/>
      <c r="J1428" s="122"/>
      <c r="K1428" s="122"/>
      <c r="L1428" s="122"/>
      <c r="M1428" s="74">
        <v>12280547</v>
      </c>
      <c r="N1428" s="75" t="s">
        <v>239</v>
      </c>
      <c r="O1428" s="75" t="s">
        <v>54</v>
      </c>
      <c r="P1428" s="134" t="str">
        <f>IF(AND('331-CT'!$E$7=TH!H1428,OR(N1428="331",O1428="331")),"x","")</f>
        <v/>
      </c>
    </row>
    <row r="1429" spans="1:16" ht="18" hidden="1" customHeight="1">
      <c r="A1429" s="72">
        <f t="shared" si="57"/>
        <v>2016</v>
      </c>
      <c r="B1429" s="72">
        <f t="shared" si="58"/>
        <v>4</v>
      </c>
      <c r="C1429" s="73">
        <v>42481</v>
      </c>
      <c r="D1429" s="73" t="s">
        <v>17</v>
      </c>
      <c r="E1429" s="73">
        <v>42481</v>
      </c>
      <c r="F1429" s="76" t="s">
        <v>1194</v>
      </c>
      <c r="G1429" s="265" t="s">
        <v>1242</v>
      </c>
      <c r="H1429" s="122" t="s">
        <v>317</v>
      </c>
      <c r="I1429" s="122"/>
      <c r="J1429" s="122"/>
      <c r="K1429" s="122"/>
      <c r="L1429" s="122"/>
      <c r="M1429" s="74">
        <v>8187032</v>
      </c>
      <c r="N1429" s="75" t="s">
        <v>239</v>
      </c>
      <c r="O1429" s="75" t="s">
        <v>54</v>
      </c>
      <c r="P1429" s="134" t="str">
        <f>IF(AND('331-CT'!$E$7=TH!H1429,OR(N1429="331",O1429="331")),"x","")</f>
        <v/>
      </c>
    </row>
    <row r="1430" spans="1:16" ht="18" hidden="1" customHeight="1">
      <c r="A1430" s="72">
        <f t="shared" si="57"/>
        <v>2016</v>
      </c>
      <c r="B1430" s="72">
        <f t="shared" si="58"/>
        <v>4</v>
      </c>
      <c r="C1430" s="73">
        <v>42481</v>
      </c>
      <c r="D1430" s="73" t="s">
        <v>17</v>
      </c>
      <c r="E1430" s="73">
        <v>42481</v>
      </c>
      <c r="F1430" s="76" t="s">
        <v>1194</v>
      </c>
      <c r="G1430" s="265" t="s">
        <v>1242</v>
      </c>
      <c r="H1430" s="122" t="s">
        <v>318</v>
      </c>
      <c r="I1430" s="122"/>
      <c r="J1430" s="122"/>
      <c r="K1430" s="122"/>
      <c r="L1430" s="122"/>
      <c r="M1430" s="74">
        <v>12280547</v>
      </c>
      <c r="N1430" s="75" t="s">
        <v>239</v>
      </c>
      <c r="O1430" s="75" t="s">
        <v>54</v>
      </c>
      <c r="P1430" s="134" t="str">
        <f>IF(AND('331-CT'!$E$7=TH!H1430,OR(N1430="331",O1430="331")),"x","")</f>
        <v/>
      </c>
    </row>
    <row r="1431" spans="1:16" ht="18" hidden="1" customHeight="1">
      <c r="A1431" s="72">
        <f t="shared" si="57"/>
        <v>2016</v>
      </c>
      <c r="B1431" s="72">
        <f t="shared" si="58"/>
        <v>4</v>
      </c>
      <c r="C1431" s="73">
        <v>42481</v>
      </c>
      <c r="D1431" s="73" t="s">
        <v>17</v>
      </c>
      <c r="E1431" s="73">
        <v>42481</v>
      </c>
      <c r="F1431" s="76" t="s">
        <v>1194</v>
      </c>
      <c r="G1431" s="265" t="s">
        <v>1242</v>
      </c>
      <c r="H1431" s="122" t="s">
        <v>319</v>
      </c>
      <c r="I1431" s="122"/>
      <c r="J1431" s="122"/>
      <c r="K1431" s="122"/>
      <c r="L1431" s="122"/>
      <c r="M1431" s="74">
        <v>16374064</v>
      </c>
      <c r="N1431" s="75" t="s">
        <v>239</v>
      </c>
      <c r="O1431" s="75" t="s">
        <v>54</v>
      </c>
      <c r="P1431" s="134" t="str">
        <f>IF(AND('331-CT'!$E$7=TH!H1431,OR(N1431="331",O1431="331")),"x","")</f>
        <v/>
      </c>
    </row>
    <row r="1432" spans="1:16" ht="18" hidden="1" customHeight="1">
      <c r="A1432" s="72">
        <f t="shared" si="57"/>
        <v>2016</v>
      </c>
      <c r="B1432" s="72">
        <f t="shared" si="58"/>
        <v>4</v>
      </c>
      <c r="C1432" s="73">
        <v>42481</v>
      </c>
      <c r="D1432" s="73" t="s">
        <v>17</v>
      </c>
      <c r="E1432" s="73">
        <v>42481</v>
      </c>
      <c r="F1432" s="76" t="s">
        <v>1194</v>
      </c>
      <c r="G1432" s="265" t="s">
        <v>1242</v>
      </c>
      <c r="H1432" s="122" t="s">
        <v>320</v>
      </c>
      <c r="I1432" s="122"/>
      <c r="J1432" s="122"/>
      <c r="K1432" s="122"/>
      <c r="L1432" s="122"/>
      <c r="M1432" s="74">
        <v>11461845</v>
      </c>
      <c r="N1432" s="75" t="s">
        <v>239</v>
      </c>
      <c r="O1432" s="75" t="s">
        <v>54</v>
      </c>
      <c r="P1432" s="134" t="str">
        <f>IF(AND('331-CT'!$E$7=TH!H1432,OR(N1432="331",O1432="331")),"x","")</f>
        <v/>
      </c>
    </row>
    <row r="1433" spans="1:16" ht="18" hidden="1" customHeight="1">
      <c r="A1433" s="72">
        <f t="shared" si="57"/>
        <v>2016</v>
      </c>
      <c r="B1433" s="72">
        <f t="shared" si="58"/>
        <v>4</v>
      </c>
      <c r="C1433" s="73">
        <v>42481</v>
      </c>
      <c r="D1433" s="73" t="s">
        <v>17</v>
      </c>
      <c r="E1433" s="73">
        <v>42481</v>
      </c>
      <c r="F1433" s="76" t="s">
        <v>1194</v>
      </c>
      <c r="G1433" s="265" t="s">
        <v>1242</v>
      </c>
      <c r="H1433" s="122" t="s">
        <v>321</v>
      </c>
      <c r="I1433" s="122"/>
      <c r="J1433" s="122"/>
      <c r="K1433" s="122"/>
      <c r="L1433" s="122"/>
      <c r="M1433" s="74">
        <v>12280547</v>
      </c>
      <c r="N1433" s="75" t="s">
        <v>239</v>
      </c>
      <c r="O1433" s="75" t="s">
        <v>54</v>
      </c>
      <c r="P1433" s="134" t="str">
        <f>IF(AND('331-CT'!$E$7=TH!H1433,OR(N1433="331",O1433="331")),"x","")</f>
        <v/>
      </c>
    </row>
    <row r="1434" spans="1:16" ht="18" hidden="1" customHeight="1">
      <c r="A1434" s="72">
        <f t="shared" si="57"/>
        <v>2016</v>
      </c>
      <c r="B1434" s="72">
        <f t="shared" si="58"/>
        <v>4</v>
      </c>
      <c r="C1434" s="73">
        <v>42481</v>
      </c>
      <c r="D1434" s="73" t="s">
        <v>17</v>
      </c>
      <c r="E1434" s="73">
        <v>42481</v>
      </c>
      <c r="F1434" s="76" t="s">
        <v>1194</v>
      </c>
      <c r="G1434" s="265" t="s">
        <v>1242</v>
      </c>
      <c r="H1434" s="122" t="s">
        <v>325</v>
      </c>
      <c r="I1434" s="122"/>
      <c r="J1434" s="122"/>
      <c r="K1434" s="122"/>
      <c r="L1434" s="122"/>
      <c r="M1434" s="74">
        <v>12280547</v>
      </c>
      <c r="N1434" s="75" t="s">
        <v>239</v>
      </c>
      <c r="O1434" s="75" t="s">
        <v>54</v>
      </c>
      <c r="P1434" s="134" t="str">
        <f>IF(AND('331-CT'!$E$7=TH!H1434,OR(N1434="331",O1434="331")),"x","")</f>
        <v/>
      </c>
    </row>
    <row r="1435" spans="1:16" ht="18" hidden="1" customHeight="1">
      <c r="A1435" s="72">
        <f t="shared" si="57"/>
        <v>2016</v>
      </c>
      <c r="B1435" s="72">
        <f t="shared" si="58"/>
        <v>4</v>
      </c>
      <c r="C1435" s="73">
        <v>42481</v>
      </c>
      <c r="D1435" s="73" t="s">
        <v>17</v>
      </c>
      <c r="E1435" s="73">
        <v>42481</v>
      </c>
      <c r="F1435" s="76" t="s">
        <v>1194</v>
      </c>
      <c r="G1435" s="265" t="s">
        <v>1242</v>
      </c>
      <c r="H1435" s="122" t="s">
        <v>416</v>
      </c>
      <c r="I1435" s="122"/>
      <c r="J1435" s="122"/>
      <c r="K1435" s="122"/>
      <c r="L1435" s="122"/>
      <c r="M1435" s="74">
        <v>12280547</v>
      </c>
      <c r="N1435" s="75" t="s">
        <v>239</v>
      </c>
      <c r="O1435" s="75" t="s">
        <v>54</v>
      </c>
      <c r="P1435" s="134" t="str">
        <f>IF(AND('331-CT'!$E$7=TH!H1435,OR(N1435="331",O1435="331")),"x","")</f>
        <v/>
      </c>
    </row>
    <row r="1436" spans="1:16" ht="18" hidden="1" customHeight="1">
      <c r="A1436" s="72">
        <f t="shared" si="57"/>
        <v>2016</v>
      </c>
      <c r="B1436" s="72">
        <f t="shared" si="58"/>
        <v>4</v>
      </c>
      <c r="C1436" s="73">
        <v>42481</v>
      </c>
      <c r="D1436" s="73" t="s">
        <v>17</v>
      </c>
      <c r="E1436" s="73">
        <v>42481</v>
      </c>
      <c r="F1436" s="76" t="s">
        <v>1194</v>
      </c>
      <c r="G1436" s="265" t="s">
        <v>1242</v>
      </c>
      <c r="H1436" s="122" t="s">
        <v>421</v>
      </c>
      <c r="I1436" s="122"/>
      <c r="J1436" s="122"/>
      <c r="K1436" s="122"/>
      <c r="L1436" s="122"/>
      <c r="M1436" s="74">
        <v>8187032</v>
      </c>
      <c r="N1436" s="75" t="s">
        <v>239</v>
      </c>
      <c r="O1436" s="75" t="s">
        <v>54</v>
      </c>
      <c r="P1436" s="134" t="str">
        <f>IF(AND('331-CT'!$E$7=TH!H1436,OR(N1436="331",O1436="331")),"x","")</f>
        <v/>
      </c>
    </row>
    <row r="1437" spans="1:16" ht="18" hidden="1" customHeight="1">
      <c r="A1437" s="72">
        <f t="shared" si="57"/>
        <v>2016</v>
      </c>
      <c r="B1437" s="72">
        <f t="shared" si="58"/>
        <v>4</v>
      </c>
      <c r="C1437" s="73">
        <v>42481</v>
      </c>
      <c r="D1437" s="73" t="s">
        <v>17</v>
      </c>
      <c r="E1437" s="73">
        <v>42481</v>
      </c>
      <c r="F1437" s="76" t="s">
        <v>1194</v>
      </c>
      <c r="G1437" s="265" t="s">
        <v>1242</v>
      </c>
      <c r="H1437" s="122" t="s">
        <v>455</v>
      </c>
      <c r="I1437" s="122"/>
      <c r="J1437" s="122"/>
      <c r="K1437" s="122"/>
      <c r="L1437" s="122"/>
      <c r="M1437" s="74">
        <v>8187032</v>
      </c>
      <c r="N1437" s="75" t="s">
        <v>239</v>
      </c>
      <c r="O1437" s="75" t="s">
        <v>54</v>
      </c>
      <c r="P1437" s="134" t="str">
        <f>IF(AND('331-CT'!$E$7=TH!H1437,OR(N1437="331",O1437="331")),"x","")</f>
        <v/>
      </c>
    </row>
    <row r="1438" spans="1:16" ht="18" hidden="1" customHeight="1">
      <c r="A1438" s="72">
        <f t="shared" si="57"/>
        <v>2016</v>
      </c>
      <c r="B1438" s="72">
        <f t="shared" si="58"/>
        <v>4</v>
      </c>
      <c r="C1438" s="73">
        <v>42481</v>
      </c>
      <c r="D1438" s="73" t="s">
        <v>17</v>
      </c>
      <c r="E1438" s="73">
        <v>42481</v>
      </c>
      <c r="F1438" s="76" t="s">
        <v>1194</v>
      </c>
      <c r="G1438" s="265" t="s">
        <v>1242</v>
      </c>
      <c r="H1438" s="122" t="s">
        <v>1058</v>
      </c>
      <c r="I1438" s="122"/>
      <c r="J1438" s="122"/>
      <c r="K1438" s="122"/>
      <c r="L1438" s="122"/>
      <c r="M1438" s="74">
        <v>6772110</v>
      </c>
      <c r="N1438" s="75" t="s">
        <v>239</v>
      </c>
      <c r="O1438" s="75" t="s">
        <v>54</v>
      </c>
      <c r="P1438" s="134" t="str">
        <f>IF(AND('331-CT'!$E$7=TH!H1438,OR(N1438="331",O1438="331")),"x","")</f>
        <v/>
      </c>
    </row>
    <row r="1439" spans="1:16" ht="18" hidden="1" customHeight="1">
      <c r="A1439" s="72">
        <f t="shared" si="57"/>
        <v>2016</v>
      </c>
      <c r="B1439" s="72">
        <f t="shared" si="58"/>
        <v>4</v>
      </c>
      <c r="C1439" s="73">
        <v>42481</v>
      </c>
      <c r="D1439" s="73" t="s">
        <v>17</v>
      </c>
      <c r="E1439" s="73">
        <v>42481</v>
      </c>
      <c r="F1439" s="76" t="s">
        <v>1194</v>
      </c>
      <c r="G1439" s="265" t="s">
        <v>1242</v>
      </c>
      <c r="H1439" s="122" t="s">
        <v>323</v>
      </c>
      <c r="I1439" s="122"/>
      <c r="J1439" s="122"/>
      <c r="K1439" s="122"/>
      <c r="L1439" s="122"/>
      <c r="M1439" s="74">
        <v>12280547</v>
      </c>
      <c r="N1439" s="75" t="s">
        <v>239</v>
      </c>
      <c r="O1439" s="75" t="s">
        <v>54</v>
      </c>
      <c r="P1439" s="134" t="str">
        <f>IF(AND('331-CT'!$E$7=TH!H1439,OR(N1439="331",O1439="331")),"x","")</f>
        <v/>
      </c>
    </row>
    <row r="1440" spans="1:16" ht="18" customHeight="1">
      <c r="A1440" s="72">
        <f t="shared" si="57"/>
        <v>2016</v>
      </c>
      <c r="B1440" s="72">
        <f t="shared" si="58"/>
        <v>4</v>
      </c>
      <c r="C1440" s="73">
        <v>42482</v>
      </c>
      <c r="D1440" s="73" t="s">
        <v>17</v>
      </c>
      <c r="E1440" s="73">
        <v>42482</v>
      </c>
      <c r="F1440" s="76" t="s">
        <v>300</v>
      </c>
      <c r="G1440" s="265" t="s">
        <v>1242</v>
      </c>
      <c r="H1440" s="122" t="s">
        <v>305</v>
      </c>
      <c r="I1440" s="122"/>
      <c r="J1440" s="122"/>
      <c r="K1440" s="122"/>
      <c r="L1440" s="122"/>
      <c r="M1440" s="74">
        <v>60000000</v>
      </c>
      <c r="N1440" s="75" t="s">
        <v>18</v>
      </c>
      <c r="O1440" s="75" t="s">
        <v>54</v>
      </c>
      <c r="P1440" s="134" t="str">
        <f>IF(AND('331-CT'!$E$7=TH!H1440,OR(N1440="331",O1440="331")),"x","")</f>
        <v/>
      </c>
    </row>
    <row r="1441" spans="1:16" ht="18" hidden="1" customHeight="1">
      <c r="A1441" s="72">
        <f t="shared" si="57"/>
        <v>2016</v>
      </c>
      <c r="B1441" s="72">
        <f t="shared" si="58"/>
        <v>4</v>
      </c>
      <c r="C1441" s="73">
        <v>42482</v>
      </c>
      <c r="D1441" s="73" t="s">
        <v>17</v>
      </c>
      <c r="E1441" s="73">
        <v>42482</v>
      </c>
      <c r="F1441" s="76" t="s">
        <v>34</v>
      </c>
      <c r="G1441" s="265" t="s">
        <v>1242</v>
      </c>
      <c r="H1441" s="122"/>
      <c r="I1441" s="122"/>
      <c r="J1441" s="122"/>
      <c r="K1441" s="122"/>
      <c r="L1441" s="122"/>
      <c r="M1441" s="74">
        <v>50000</v>
      </c>
      <c r="N1441" s="75" t="s">
        <v>241</v>
      </c>
      <c r="O1441" s="75" t="s">
        <v>54</v>
      </c>
      <c r="P1441" s="134" t="str">
        <f>IF(AND('331-CT'!$E$7=TH!H1441,OR(N1441="331",O1441="331")),"x","")</f>
        <v/>
      </c>
    </row>
    <row r="1442" spans="1:16" ht="18" hidden="1" customHeight="1">
      <c r="A1442" s="72">
        <f t="shared" si="57"/>
        <v>2016</v>
      </c>
      <c r="B1442" s="72">
        <f t="shared" si="58"/>
        <v>4</v>
      </c>
      <c r="C1442" s="73">
        <v>42482</v>
      </c>
      <c r="D1442" s="73" t="s">
        <v>17</v>
      </c>
      <c r="E1442" s="73">
        <v>42482</v>
      </c>
      <c r="F1442" s="76" t="s">
        <v>35</v>
      </c>
      <c r="G1442" s="265" t="s">
        <v>1242</v>
      </c>
      <c r="H1442" s="122"/>
      <c r="I1442" s="122"/>
      <c r="J1442" s="122"/>
      <c r="K1442" s="122"/>
      <c r="L1442" s="122"/>
      <c r="M1442" s="74">
        <v>5000</v>
      </c>
      <c r="N1442" s="75" t="s">
        <v>19</v>
      </c>
      <c r="O1442" s="75" t="s">
        <v>54</v>
      </c>
      <c r="P1442" s="134" t="str">
        <f>IF(AND('331-CT'!$E$7=TH!H1442,OR(N1442="331",O1442="331")),"x","")</f>
        <v/>
      </c>
    </row>
    <row r="1443" spans="1:16" ht="18" hidden="1" customHeight="1">
      <c r="A1443" s="72">
        <f t="shared" si="57"/>
        <v>2016</v>
      </c>
      <c r="B1443" s="72">
        <f t="shared" si="58"/>
        <v>4</v>
      </c>
      <c r="C1443" s="73">
        <v>42483</v>
      </c>
      <c r="D1443" s="73" t="s">
        <v>171</v>
      </c>
      <c r="E1443" s="73">
        <v>42483</v>
      </c>
      <c r="F1443" s="76" t="s">
        <v>1186</v>
      </c>
      <c r="G1443" s="265" t="s">
        <v>1365</v>
      </c>
      <c r="H1443" s="122" t="s">
        <v>846</v>
      </c>
      <c r="I1443" s="122"/>
      <c r="J1443" s="122"/>
      <c r="K1443" s="122"/>
      <c r="L1443" s="122"/>
      <c r="M1443" s="74">
        <v>618000</v>
      </c>
      <c r="N1443" s="75" t="s">
        <v>654</v>
      </c>
      <c r="O1443" s="75" t="s">
        <v>203</v>
      </c>
      <c r="P1443" s="134" t="str">
        <f>IF(AND('331-CT'!$E$7=TH!H1443,OR(N1443="331",O1443="331")),"x","")</f>
        <v/>
      </c>
    </row>
    <row r="1444" spans="1:16" ht="18" hidden="1" customHeight="1">
      <c r="A1444" s="72">
        <f t="shared" si="57"/>
        <v>2016</v>
      </c>
      <c r="B1444" s="72">
        <f t="shared" si="58"/>
        <v>4</v>
      </c>
      <c r="C1444" s="73">
        <v>42485</v>
      </c>
      <c r="D1444" s="73" t="s">
        <v>494</v>
      </c>
      <c r="E1444" s="73">
        <v>42485</v>
      </c>
      <c r="F1444" s="76" t="s">
        <v>1366</v>
      </c>
      <c r="G1444" s="265" t="s">
        <v>1367</v>
      </c>
      <c r="H1444" s="122" t="s">
        <v>188</v>
      </c>
      <c r="I1444" s="122"/>
      <c r="J1444" s="122"/>
      <c r="K1444" s="122"/>
      <c r="L1444" s="122"/>
      <c r="M1444" s="74">
        <v>10818800</v>
      </c>
      <c r="N1444" s="75" t="s">
        <v>241</v>
      </c>
      <c r="O1444" s="75" t="s">
        <v>203</v>
      </c>
      <c r="P1444" s="134" t="str">
        <f>IF(AND('331-CT'!$E$7=TH!H1444,OR(N1444="331",O1444="331")),"x","")</f>
        <v/>
      </c>
    </row>
    <row r="1445" spans="1:16" ht="18" hidden="1" customHeight="1">
      <c r="A1445" s="72">
        <f t="shared" si="57"/>
        <v>2016</v>
      </c>
      <c r="B1445" s="72">
        <f t="shared" si="58"/>
        <v>4</v>
      </c>
      <c r="C1445" s="73">
        <v>42485</v>
      </c>
      <c r="D1445" s="73" t="s">
        <v>494</v>
      </c>
      <c r="E1445" s="73">
        <v>42485</v>
      </c>
      <c r="F1445" s="76" t="s">
        <v>1368</v>
      </c>
      <c r="G1445" s="265" t="s">
        <v>1367</v>
      </c>
      <c r="H1445" s="122" t="s">
        <v>188</v>
      </c>
      <c r="I1445" s="122"/>
      <c r="J1445" s="122"/>
      <c r="K1445" s="122"/>
      <c r="L1445" s="122"/>
      <c r="M1445" s="74">
        <v>540940</v>
      </c>
      <c r="N1445" s="75" t="s">
        <v>19</v>
      </c>
      <c r="O1445" s="75" t="s">
        <v>203</v>
      </c>
      <c r="P1445" s="134" t="str">
        <f>IF(AND('331-CT'!$E$7=TH!H1445,OR(N1445="331",O1445="331")),"x","")</f>
        <v/>
      </c>
    </row>
    <row r="1446" spans="1:16" ht="18" hidden="1" customHeight="1">
      <c r="A1446" s="72">
        <f t="shared" si="57"/>
        <v>2016</v>
      </c>
      <c r="B1446" s="72">
        <f t="shared" si="58"/>
        <v>4</v>
      </c>
      <c r="C1446" s="73">
        <v>42486</v>
      </c>
      <c r="D1446" s="73" t="s">
        <v>495</v>
      </c>
      <c r="E1446" s="73">
        <v>42486</v>
      </c>
      <c r="F1446" s="76" t="s">
        <v>462</v>
      </c>
      <c r="G1446" s="265" t="s">
        <v>1369</v>
      </c>
      <c r="H1446" s="122" t="s">
        <v>1370</v>
      </c>
      <c r="I1446" s="122"/>
      <c r="J1446" s="122"/>
      <c r="K1446" s="122"/>
      <c r="L1446" s="122"/>
      <c r="M1446" s="74">
        <v>2180000</v>
      </c>
      <c r="N1446" s="75" t="s">
        <v>654</v>
      </c>
      <c r="O1446" s="75" t="s">
        <v>203</v>
      </c>
      <c r="P1446" s="134" t="str">
        <f>IF(AND('331-CT'!$E$7=TH!H1446,OR(N1446="331",O1446="331")),"x","")</f>
        <v/>
      </c>
    </row>
    <row r="1447" spans="1:16" ht="18" hidden="1" customHeight="1">
      <c r="A1447" s="72">
        <f t="shared" si="57"/>
        <v>2016</v>
      </c>
      <c r="B1447" s="72">
        <f t="shared" si="58"/>
        <v>4</v>
      </c>
      <c r="C1447" s="73">
        <v>42486</v>
      </c>
      <c r="D1447" s="73" t="s">
        <v>78</v>
      </c>
      <c r="E1447" s="73">
        <v>42486</v>
      </c>
      <c r="F1447" s="76" t="s">
        <v>1431</v>
      </c>
      <c r="G1447" s="265" t="s">
        <v>1432</v>
      </c>
      <c r="H1447" s="122" t="s">
        <v>648</v>
      </c>
      <c r="I1447" s="122"/>
      <c r="J1447" s="122"/>
      <c r="K1447" s="122"/>
      <c r="L1447" s="122"/>
      <c r="M1447" s="74">
        <v>37564400</v>
      </c>
      <c r="N1447" s="75" t="s">
        <v>241</v>
      </c>
      <c r="O1447" s="75" t="s">
        <v>18</v>
      </c>
      <c r="P1447" s="134" t="str">
        <f>IF(AND('331-CT'!$E$7=TH!H1447,OR(N1447="331",O1447="331")),"x","")</f>
        <v/>
      </c>
    </row>
    <row r="1448" spans="1:16" ht="18" hidden="1" customHeight="1">
      <c r="A1448" s="72">
        <f t="shared" si="57"/>
        <v>2016</v>
      </c>
      <c r="B1448" s="72">
        <f t="shared" si="58"/>
        <v>4</v>
      </c>
      <c r="C1448" s="73">
        <v>42486</v>
      </c>
      <c r="D1448" s="73" t="s">
        <v>78</v>
      </c>
      <c r="E1448" s="73">
        <v>42486</v>
      </c>
      <c r="F1448" s="76" t="s">
        <v>1433</v>
      </c>
      <c r="G1448" s="265" t="s">
        <v>1432</v>
      </c>
      <c r="H1448" s="122" t="s">
        <v>648</v>
      </c>
      <c r="I1448" s="122"/>
      <c r="J1448" s="122"/>
      <c r="K1448" s="122"/>
      <c r="L1448" s="122"/>
      <c r="M1448" s="74">
        <v>3756440</v>
      </c>
      <c r="N1448" s="75" t="s">
        <v>19</v>
      </c>
      <c r="O1448" s="75" t="s">
        <v>18</v>
      </c>
      <c r="P1448" s="134" t="str">
        <f>IF(AND('331-CT'!$E$7=TH!H1448,OR(N1448="331",O1448="331")),"x","")</f>
        <v/>
      </c>
    </row>
    <row r="1449" spans="1:16" ht="18" hidden="1" customHeight="1">
      <c r="A1449" s="72">
        <f t="shared" si="57"/>
        <v>2016</v>
      </c>
      <c r="B1449" s="72">
        <f t="shared" si="58"/>
        <v>4</v>
      </c>
      <c r="C1449" s="73">
        <v>42487</v>
      </c>
      <c r="D1449" s="73" t="s">
        <v>496</v>
      </c>
      <c r="E1449" s="73">
        <v>42487</v>
      </c>
      <c r="F1449" s="76" t="s">
        <v>462</v>
      </c>
      <c r="G1449" s="265" t="s">
        <v>1371</v>
      </c>
      <c r="H1449" s="122" t="s">
        <v>1313</v>
      </c>
      <c r="I1449" s="122"/>
      <c r="J1449" s="122"/>
      <c r="K1449" s="122"/>
      <c r="L1449" s="122"/>
      <c r="M1449" s="74">
        <v>1500000</v>
      </c>
      <c r="N1449" s="75" t="s">
        <v>654</v>
      </c>
      <c r="O1449" s="75" t="s">
        <v>203</v>
      </c>
      <c r="P1449" s="134" t="str">
        <f>IF(AND('331-CT'!$E$7=TH!H1449,OR(N1449="331",O1449="331")),"x","")</f>
        <v/>
      </c>
    </row>
    <row r="1450" spans="1:16" ht="18" hidden="1" customHeight="1">
      <c r="A1450" s="72">
        <f t="shared" si="57"/>
        <v>2016</v>
      </c>
      <c r="B1450" s="72">
        <f t="shared" si="58"/>
        <v>4</v>
      </c>
      <c r="C1450" s="73">
        <v>42487</v>
      </c>
      <c r="D1450" s="73" t="s">
        <v>497</v>
      </c>
      <c r="E1450" s="73">
        <v>42487</v>
      </c>
      <c r="F1450" s="76" t="s">
        <v>1195</v>
      </c>
      <c r="G1450" s="265" t="s">
        <v>1242</v>
      </c>
      <c r="H1450" s="122" t="s">
        <v>307</v>
      </c>
      <c r="I1450" s="122"/>
      <c r="J1450" s="122"/>
      <c r="K1450" s="122"/>
      <c r="L1450" s="122"/>
      <c r="M1450" s="74">
        <v>47000000</v>
      </c>
      <c r="N1450" s="75" t="s">
        <v>54</v>
      </c>
      <c r="O1450" s="75" t="s">
        <v>203</v>
      </c>
      <c r="P1450" s="134" t="str">
        <f>IF(AND('331-CT'!$E$7=TH!H1450,OR(N1450="331",O1450="331")),"x","")</f>
        <v/>
      </c>
    </row>
    <row r="1451" spans="1:16" ht="18" hidden="1" customHeight="1">
      <c r="A1451" s="72">
        <f t="shared" si="57"/>
        <v>2016</v>
      </c>
      <c r="B1451" s="72">
        <f t="shared" si="58"/>
        <v>4</v>
      </c>
      <c r="C1451" s="73">
        <v>42487</v>
      </c>
      <c r="D1451" s="73" t="s">
        <v>17</v>
      </c>
      <c r="E1451" s="73">
        <v>42487</v>
      </c>
      <c r="F1451" s="76" t="s">
        <v>1372</v>
      </c>
      <c r="G1451" s="265" t="s">
        <v>1242</v>
      </c>
      <c r="H1451" s="122" t="s">
        <v>648</v>
      </c>
      <c r="I1451" s="122"/>
      <c r="J1451" s="122"/>
      <c r="K1451" s="122"/>
      <c r="L1451" s="122"/>
      <c r="M1451" s="74">
        <v>46697530</v>
      </c>
      <c r="N1451" s="75" t="s">
        <v>18</v>
      </c>
      <c r="O1451" s="75" t="s">
        <v>54</v>
      </c>
      <c r="P1451" s="134" t="str">
        <f>IF(AND('331-CT'!$E$7=TH!H1451,OR(N1451="331",O1451="331")),"x","")</f>
        <v/>
      </c>
    </row>
    <row r="1452" spans="1:16" ht="18" hidden="1" customHeight="1">
      <c r="A1452" s="72">
        <f t="shared" si="57"/>
        <v>2016</v>
      </c>
      <c r="B1452" s="72">
        <f t="shared" si="58"/>
        <v>4</v>
      </c>
      <c r="C1452" s="73">
        <v>42487</v>
      </c>
      <c r="D1452" s="73" t="s">
        <v>17</v>
      </c>
      <c r="E1452" s="73">
        <v>42487</v>
      </c>
      <c r="F1452" s="76" t="s">
        <v>34</v>
      </c>
      <c r="G1452" s="265" t="s">
        <v>1242</v>
      </c>
      <c r="H1452" s="122"/>
      <c r="I1452" s="122"/>
      <c r="J1452" s="122"/>
      <c r="K1452" s="122"/>
      <c r="L1452" s="122"/>
      <c r="M1452" s="74">
        <v>45000</v>
      </c>
      <c r="N1452" s="75" t="s">
        <v>241</v>
      </c>
      <c r="O1452" s="75" t="s">
        <v>54</v>
      </c>
      <c r="P1452" s="134" t="str">
        <f>IF(AND('331-CT'!$E$7=TH!H1452,OR(N1452="331",O1452="331")),"x","")</f>
        <v/>
      </c>
    </row>
    <row r="1453" spans="1:16" ht="18" hidden="1" customHeight="1">
      <c r="A1453" s="72">
        <f t="shared" si="57"/>
        <v>2016</v>
      </c>
      <c r="B1453" s="72">
        <f t="shared" si="58"/>
        <v>4</v>
      </c>
      <c r="C1453" s="73">
        <v>42487</v>
      </c>
      <c r="D1453" s="73" t="s">
        <v>17</v>
      </c>
      <c r="E1453" s="73">
        <v>42487</v>
      </c>
      <c r="F1453" s="76" t="s">
        <v>35</v>
      </c>
      <c r="G1453" s="265" t="s">
        <v>1242</v>
      </c>
      <c r="H1453" s="122"/>
      <c r="I1453" s="122"/>
      <c r="J1453" s="122"/>
      <c r="K1453" s="122"/>
      <c r="L1453" s="122"/>
      <c r="M1453" s="74">
        <v>4500</v>
      </c>
      <c r="N1453" s="75" t="s">
        <v>19</v>
      </c>
      <c r="O1453" s="75" t="s">
        <v>54</v>
      </c>
      <c r="P1453" s="134" t="str">
        <f>IF(AND('331-CT'!$E$7=TH!H1453,OR(N1453="331",O1453="331")),"x","")</f>
        <v/>
      </c>
    </row>
    <row r="1454" spans="1:16" ht="18" hidden="1" customHeight="1">
      <c r="A1454" s="72">
        <f t="shared" si="57"/>
        <v>2016</v>
      </c>
      <c r="B1454" s="72">
        <f t="shared" si="58"/>
        <v>5</v>
      </c>
      <c r="C1454" s="73">
        <v>42491</v>
      </c>
      <c r="D1454" s="73" t="s">
        <v>20</v>
      </c>
      <c r="E1454" s="73">
        <v>42491</v>
      </c>
      <c r="F1454" s="76" t="s">
        <v>1266</v>
      </c>
      <c r="G1454" s="265" t="s">
        <v>1242</v>
      </c>
      <c r="H1454" s="122" t="s">
        <v>430</v>
      </c>
      <c r="I1454" s="122"/>
      <c r="J1454" s="122"/>
      <c r="K1454" s="122"/>
      <c r="L1454" s="122"/>
      <c r="M1454" s="74">
        <v>1000000000</v>
      </c>
      <c r="N1454" s="75" t="s">
        <v>203</v>
      </c>
      <c r="O1454" s="75" t="s">
        <v>39</v>
      </c>
      <c r="P1454" s="134" t="str">
        <f>IF(AND('331-CT'!$E$7=TH!H1454,OR(N1454="331",O1454="331")),"x","")</f>
        <v/>
      </c>
    </row>
    <row r="1455" spans="1:16" ht="18" hidden="1" customHeight="1">
      <c r="A1455" s="72">
        <f t="shared" si="57"/>
        <v>2016</v>
      </c>
      <c r="B1455" s="72">
        <f t="shared" si="58"/>
        <v>5</v>
      </c>
      <c r="C1455" s="73">
        <v>42494</v>
      </c>
      <c r="D1455" s="73" t="s">
        <v>21</v>
      </c>
      <c r="E1455" s="73">
        <v>42494</v>
      </c>
      <c r="F1455" s="76" t="s">
        <v>1266</v>
      </c>
      <c r="G1455" s="265" t="s">
        <v>1242</v>
      </c>
      <c r="H1455" s="122" t="s">
        <v>1200</v>
      </c>
      <c r="I1455" s="122"/>
      <c r="J1455" s="122"/>
      <c r="K1455" s="122"/>
      <c r="L1455" s="122"/>
      <c r="M1455" s="74">
        <v>95000000</v>
      </c>
      <c r="N1455" s="75" t="s">
        <v>54</v>
      </c>
      <c r="O1455" s="75" t="s">
        <v>39</v>
      </c>
      <c r="P1455" s="134" t="str">
        <f>IF(AND('331-CT'!$E$7=TH!H1455,OR(N1455="331",O1455="331")),"x","")</f>
        <v/>
      </c>
    </row>
    <row r="1456" spans="1:16" ht="18" hidden="1" customHeight="1">
      <c r="A1456" s="72">
        <f t="shared" si="57"/>
        <v>2016</v>
      </c>
      <c r="B1456" s="72">
        <f t="shared" si="58"/>
        <v>5</v>
      </c>
      <c r="C1456" s="73">
        <v>42494</v>
      </c>
      <c r="D1456" s="73" t="s">
        <v>498</v>
      </c>
      <c r="E1456" s="73">
        <v>42494</v>
      </c>
      <c r="F1456" s="76" t="s">
        <v>1227</v>
      </c>
      <c r="G1456" s="265" t="s">
        <v>1242</v>
      </c>
      <c r="H1456" s="122" t="s">
        <v>1200</v>
      </c>
      <c r="I1456" s="122"/>
      <c r="J1456" s="122"/>
      <c r="K1456" s="122"/>
      <c r="L1456" s="122"/>
      <c r="M1456" s="74">
        <v>95000000</v>
      </c>
      <c r="N1456" s="75" t="s">
        <v>39</v>
      </c>
      <c r="O1456" s="75" t="s">
        <v>203</v>
      </c>
      <c r="P1456" s="134" t="str">
        <f>IF(AND('331-CT'!$E$7=TH!H1456,OR(N1456="331",O1456="331")),"x","")</f>
        <v/>
      </c>
    </row>
    <row r="1457" spans="1:16" ht="18" hidden="1" customHeight="1">
      <c r="A1457" s="72">
        <f t="shared" si="57"/>
        <v>2016</v>
      </c>
      <c r="B1457" s="72">
        <f t="shared" si="58"/>
        <v>5</v>
      </c>
      <c r="C1457" s="73">
        <v>42494</v>
      </c>
      <c r="D1457" s="73" t="s">
        <v>17</v>
      </c>
      <c r="E1457" s="73">
        <v>42494</v>
      </c>
      <c r="F1457" s="76" t="s">
        <v>1373</v>
      </c>
      <c r="G1457" s="265" t="s">
        <v>1242</v>
      </c>
      <c r="H1457" s="122" t="s">
        <v>648</v>
      </c>
      <c r="I1457" s="122"/>
      <c r="J1457" s="122"/>
      <c r="K1457" s="122"/>
      <c r="L1457" s="122"/>
      <c r="M1457" s="74">
        <v>92467100</v>
      </c>
      <c r="N1457" s="75" t="s">
        <v>18</v>
      </c>
      <c r="O1457" s="75" t="s">
        <v>54</v>
      </c>
      <c r="P1457" s="134" t="str">
        <f>IF(AND('331-CT'!$E$7=TH!H1457,OR(N1457="331",O1457="331")),"x","")</f>
        <v/>
      </c>
    </row>
    <row r="1458" spans="1:16" ht="18" hidden="1" customHeight="1">
      <c r="A1458" s="72">
        <f t="shared" si="57"/>
        <v>2016</v>
      </c>
      <c r="B1458" s="72">
        <f t="shared" si="58"/>
        <v>5</v>
      </c>
      <c r="C1458" s="73">
        <v>42494</v>
      </c>
      <c r="D1458" s="73" t="s">
        <v>17</v>
      </c>
      <c r="E1458" s="73">
        <v>42494</v>
      </c>
      <c r="F1458" s="76" t="s">
        <v>34</v>
      </c>
      <c r="G1458" s="265" t="s">
        <v>1242</v>
      </c>
      <c r="H1458" s="122"/>
      <c r="I1458" s="122"/>
      <c r="J1458" s="122"/>
      <c r="K1458" s="122"/>
      <c r="L1458" s="122"/>
      <c r="M1458" s="74">
        <v>46234</v>
      </c>
      <c r="N1458" s="75" t="s">
        <v>241</v>
      </c>
      <c r="O1458" s="75" t="s">
        <v>54</v>
      </c>
      <c r="P1458" s="134" t="str">
        <f>IF(AND('331-CT'!$E$7=TH!H1458,OR(N1458="331",O1458="331")),"x","")</f>
        <v/>
      </c>
    </row>
    <row r="1459" spans="1:16" ht="18" hidden="1" customHeight="1">
      <c r="A1459" s="72">
        <f t="shared" ref="A1459:A1522" si="59">IF(C1459&lt;&gt;"",YEAR(C1459),"")</f>
        <v>2016</v>
      </c>
      <c r="B1459" s="72">
        <f t="shared" ref="B1459:B1522" si="60">IF(C1459&lt;&gt;"",MONTH(C1459),"")</f>
        <v>5</v>
      </c>
      <c r="C1459" s="73">
        <v>42494</v>
      </c>
      <c r="D1459" s="73" t="s">
        <v>17</v>
      </c>
      <c r="E1459" s="73">
        <v>42494</v>
      </c>
      <c r="F1459" s="76" t="s">
        <v>35</v>
      </c>
      <c r="G1459" s="265" t="s">
        <v>1242</v>
      </c>
      <c r="H1459" s="122"/>
      <c r="I1459" s="122"/>
      <c r="J1459" s="122"/>
      <c r="K1459" s="122"/>
      <c r="L1459" s="122"/>
      <c r="M1459" s="74">
        <v>4623</v>
      </c>
      <c r="N1459" s="75" t="s">
        <v>19</v>
      </c>
      <c r="O1459" s="75" t="s">
        <v>54</v>
      </c>
      <c r="P1459" s="134" t="str">
        <f>IF(AND('331-CT'!$E$7=TH!H1459,OR(N1459="331",O1459="331")),"x","")</f>
        <v/>
      </c>
    </row>
    <row r="1460" spans="1:16" ht="18" hidden="1" customHeight="1">
      <c r="A1460" s="72">
        <f t="shared" si="59"/>
        <v>2016</v>
      </c>
      <c r="B1460" s="72">
        <f t="shared" si="60"/>
        <v>5</v>
      </c>
      <c r="C1460" s="73">
        <v>42500</v>
      </c>
      <c r="D1460" s="73" t="s">
        <v>499</v>
      </c>
      <c r="E1460" s="73">
        <v>42500</v>
      </c>
      <c r="F1460" s="76" t="s">
        <v>1374</v>
      </c>
      <c r="G1460" s="265" t="s">
        <v>1375</v>
      </c>
      <c r="H1460" s="122" t="s">
        <v>782</v>
      </c>
      <c r="I1460" s="122"/>
      <c r="J1460" s="122"/>
      <c r="K1460" s="122"/>
      <c r="L1460" s="122"/>
      <c r="M1460" s="74">
        <v>7272727</v>
      </c>
      <c r="N1460" s="75" t="s">
        <v>241</v>
      </c>
      <c r="O1460" s="75" t="s">
        <v>203</v>
      </c>
      <c r="P1460" s="134" t="str">
        <f>IF(AND('331-CT'!$E$7=TH!H1460,OR(N1460="331",O1460="331")),"x","")</f>
        <v/>
      </c>
    </row>
    <row r="1461" spans="1:16" ht="18" hidden="1" customHeight="1">
      <c r="A1461" s="72">
        <f t="shared" si="59"/>
        <v>2016</v>
      </c>
      <c r="B1461" s="72">
        <f t="shared" si="60"/>
        <v>5</v>
      </c>
      <c r="C1461" s="73">
        <v>42500</v>
      </c>
      <c r="D1461" s="73" t="s">
        <v>499</v>
      </c>
      <c r="E1461" s="73">
        <v>42500</v>
      </c>
      <c r="F1461" s="76" t="s">
        <v>1376</v>
      </c>
      <c r="G1461" s="265" t="s">
        <v>1375</v>
      </c>
      <c r="H1461" s="122" t="s">
        <v>782</v>
      </c>
      <c r="I1461" s="122"/>
      <c r="J1461" s="122"/>
      <c r="K1461" s="122"/>
      <c r="L1461" s="122"/>
      <c r="M1461" s="74">
        <v>727273</v>
      </c>
      <c r="N1461" s="75" t="s">
        <v>19</v>
      </c>
      <c r="O1461" s="75" t="s">
        <v>203</v>
      </c>
      <c r="P1461" s="134" t="str">
        <f>IF(AND('331-CT'!$E$7=TH!H1461,OR(N1461="331",O1461="331")),"x","")</f>
        <v/>
      </c>
    </row>
    <row r="1462" spans="1:16" ht="18" hidden="1" customHeight="1">
      <c r="A1462" s="72">
        <f t="shared" si="59"/>
        <v>2016</v>
      </c>
      <c r="B1462" s="72">
        <f t="shared" si="60"/>
        <v>5</v>
      </c>
      <c r="C1462" s="73">
        <v>42500</v>
      </c>
      <c r="D1462" s="73" t="s">
        <v>500</v>
      </c>
      <c r="E1462" s="73">
        <v>42500</v>
      </c>
      <c r="F1462" s="76" t="s">
        <v>1377</v>
      </c>
      <c r="G1462" s="265" t="s">
        <v>1378</v>
      </c>
      <c r="H1462" s="122" t="s">
        <v>1379</v>
      </c>
      <c r="I1462" s="122"/>
      <c r="J1462" s="122"/>
      <c r="K1462" s="122"/>
      <c r="L1462" s="122"/>
      <c r="M1462" s="74">
        <v>1479091</v>
      </c>
      <c r="N1462" s="75" t="s">
        <v>241</v>
      </c>
      <c r="O1462" s="75" t="s">
        <v>203</v>
      </c>
      <c r="P1462" s="134" t="str">
        <f>IF(AND('331-CT'!$E$7=TH!H1462,OR(N1462="331",O1462="331")),"x","")</f>
        <v/>
      </c>
    </row>
    <row r="1463" spans="1:16" ht="18" hidden="1" customHeight="1">
      <c r="A1463" s="72">
        <f t="shared" si="59"/>
        <v>2016</v>
      </c>
      <c r="B1463" s="72">
        <f t="shared" si="60"/>
        <v>5</v>
      </c>
      <c r="C1463" s="73">
        <v>42500</v>
      </c>
      <c r="D1463" s="73" t="s">
        <v>500</v>
      </c>
      <c r="E1463" s="73">
        <v>42500</v>
      </c>
      <c r="F1463" s="76" t="s">
        <v>1380</v>
      </c>
      <c r="G1463" s="265" t="s">
        <v>1378</v>
      </c>
      <c r="H1463" s="122" t="s">
        <v>1379</v>
      </c>
      <c r="I1463" s="122"/>
      <c r="J1463" s="122"/>
      <c r="K1463" s="122"/>
      <c r="L1463" s="122"/>
      <c r="M1463" s="74">
        <v>147909</v>
      </c>
      <c r="N1463" s="75" t="s">
        <v>19</v>
      </c>
      <c r="O1463" s="75" t="s">
        <v>203</v>
      </c>
      <c r="P1463" s="134" t="str">
        <f>IF(AND('331-CT'!$E$7=TH!H1463,OR(N1463="331",O1463="331")),"x","")</f>
        <v/>
      </c>
    </row>
    <row r="1464" spans="1:16" ht="18" hidden="1" customHeight="1">
      <c r="A1464" s="72">
        <f t="shared" si="59"/>
        <v>2016</v>
      </c>
      <c r="B1464" s="72">
        <f t="shared" si="60"/>
        <v>5</v>
      </c>
      <c r="C1464" s="73">
        <v>42501</v>
      </c>
      <c r="D1464" s="73" t="s">
        <v>78</v>
      </c>
      <c r="E1464" s="73">
        <v>42501</v>
      </c>
      <c r="F1464" s="76" t="s">
        <v>1434</v>
      </c>
      <c r="G1464" s="265" t="s">
        <v>1435</v>
      </c>
      <c r="H1464" s="122" t="s">
        <v>648</v>
      </c>
      <c r="I1464" s="122"/>
      <c r="J1464" s="122"/>
      <c r="K1464" s="122"/>
      <c r="L1464" s="122"/>
      <c r="M1464" s="74">
        <v>27604000</v>
      </c>
      <c r="N1464" s="75" t="s">
        <v>241</v>
      </c>
      <c r="O1464" s="75" t="s">
        <v>18</v>
      </c>
      <c r="P1464" s="134" t="str">
        <f>IF(AND('331-CT'!$E$7=TH!H1464,OR(N1464="331",O1464="331")),"x","")</f>
        <v/>
      </c>
    </row>
    <row r="1465" spans="1:16" ht="18" hidden="1" customHeight="1">
      <c r="A1465" s="72">
        <f t="shared" si="59"/>
        <v>2016</v>
      </c>
      <c r="B1465" s="72">
        <f t="shared" si="60"/>
        <v>5</v>
      </c>
      <c r="C1465" s="73">
        <v>42501</v>
      </c>
      <c r="D1465" s="73" t="s">
        <v>78</v>
      </c>
      <c r="E1465" s="73">
        <v>42501</v>
      </c>
      <c r="F1465" s="76" t="s">
        <v>1436</v>
      </c>
      <c r="G1465" s="265" t="s">
        <v>1435</v>
      </c>
      <c r="H1465" s="122" t="s">
        <v>648</v>
      </c>
      <c r="I1465" s="122"/>
      <c r="J1465" s="122"/>
      <c r="K1465" s="122"/>
      <c r="L1465" s="122"/>
      <c r="M1465" s="74">
        <v>2760400</v>
      </c>
      <c r="N1465" s="75" t="s">
        <v>19</v>
      </c>
      <c r="O1465" s="75" t="s">
        <v>18</v>
      </c>
      <c r="P1465" s="134" t="str">
        <f>IF(AND('331-CT'!$E$7=TH!H1465,OR(N1465="331",O1465="331")),"x","")</f>
        <v/>
      </c>
    </row>
    <row r="1466" spans="1:16" ht="18" hidden="1" customHeight="1">
      <c r="A1466" s="72">
        <f t="shared" si="59"/>
        <v>2016</v>
      </c>
      <c r="B1466" s="72">
        <f t="shared" si="60"/>
        <v>5</v>
      </c>
      <c r="C1466" s="73">
        <v>42503</v>
      </c>
      <c r="D1466" s="73" t="s">
        <v>501</v>
      </c>
      <c r="E1466" s="73">
        <v>42503</v>
      </c>
      <c r="F1466" s="76" t="s">
        <v>1186</v>
      </c>
      <c r="G1466" s="265" t="s">
        <v>1381</v>
      </c>
      <c r="H1466" s="122" t="s">
        <v>1213</v>
      </c>
      <c r="I1466" s="122"/>
      <c r="J1466" s="122"/>
      <c r="K1466" s="122"/>
      <c r="L1466" s="122"/>
      <c r="M1466" s="74">
        <v>1700000</v>
      </c>
      <c r="N1466" s="75" t="s">
        <v>654</v>
      </c>
      <c r="O1466" s="75" t="s">
        <v>203</v>
      </c>
      <c r="P1466" s="134" t="str">
        <f>IF(AND('331-CT'!$E$7=TH!H1466,OR(N1466="331",O1466="331")),"x","")</f>
        <v/>
      </c>
    </row>
    <row r="1467" spans="1:16" ht="18" hidden="1" customHeight="1">
      <c r="A1467" s="72">
        <f t="shared" si="59"/>
        <v>2016</v>
      </c>
      <c r="B1467" s="72">
        <f t="shared" si="60"/>
        <v>5</v>
      </c>
      <c r="C1467" s="73">
        <v>42507</v>
      </c>
      <c r="D1467" s="73" t="s">
        <v>502</v>
      </c>
      <c r="E1467" s="73">
        <v>42507</v>
      </c>
      <c r="F1467" s="76" t="s">
        <v>1382</v>
      </c>
      <c r="G1467" s="265" t="s">
        <v>1383</v>
      </c>
      <c r="H1467" s="122" t="s">
        <v>279</v>
      </c>
      <c r="I1467" s="122"/>
      <c r="J1467" s="122"/>
      <c r="K1467" s="122"/>
      <c r="L1467" s="122"/>
      <c r="M1467" s="74">
        <v>481314</v>
      </c>
      <c r="N1467" s="75" t="s">
        <v>241</v>
      </c>
      <c r="O1467" s="75" t="s">
        <v>203</v>
      </c>
      <c r="P1467" s="134" t="str">
        <f>IF(AND('331-CT'!$E$7=TH!H1467,OR(N1467="331",O1467="331")),"x","")</f>
        <v/>
      </c>
    </row>
    <row r="1468" spans="1:16" ht="18" hidden="1" customHeight="1">
      <c r="A1468" s="72">
        <f t="shared" si="59"/>
        <v>2016</v>
      </c>
      <c r="B1468" s="72">
        <f t="shared" si="60"/>
        <v>5</v>
      </c>
      <c r="C1468" s="73">
        <v>42507</v>
      </c>
      <c r="D1468" s="73" t="s">
        <v>502</v>
      </c>
      <c r="E1468" s="73">
        <v>42507</v>
      </c>
      <c r="F1468" s="76" t="s">
        <v>1384</v>
      </c>
      <c r="G1468" s="265" t="s">
        <v>1383</v>
      </c>
      <c r="H1468" s="122" t="s">
        <v>279</v>
      </c>
      <c r="I1468" s="122"/>
      <c r="J1468" s="122"/>
      <c r="K1468" s="122"/>
      <c r="L1468" s="122"/>
      <c r="M1468" s="74">
        <v>48131</v>
      </c>
      <c r="N1468" s="75" t="s">
        <v>19</v>
      </c>
      <c r="O1468" s="75" t="s">
        <v>203</v>
      </c>
      <c r="P1468" s="134" t="str">
        <f>IF(AND('331-CT'!$E$7=TH!H1468,OR(N1468="331",O1468="331")),"x","")</f>
        <v/>
      </c>
    </row>
    <row r="1469" spans="1:16" ht="18" hidden="1" customHeight="1">
      <c r="A1469" s="72">
        <f t="shared" si="59"/>
        <v>2016</v>
      </c>
      <c r="B1469" s="72">
        <f t="shared" si="60"/>
        <v>5</v>
      </c>
      <c r="C1469" s="73">
        <v>42507</v>
      </c>
      <c r="D1469" s="73" t="s">
        <v>503</v>
      </c>
      <c r="E1469" s="73">
        <v>42507</v>
      </c>
      <c r="F1469" s="76" t="s">
        <v>1186</v>
      </c>
      <c r="G1469" s="265" t="s">
        <v>1385</v>
      </c>
      <c r="H1469" s="122" t="s">
        <v>1213</v>
      </c>
      <c r="I1469" s="122"/>
      <c r="J1469" s="122"/>
      <c r="K1469" s="122"/>
      <c r="L1469" s="122"/>
      <c r="M1469" s="74">
        <v>3800000</v>
      </c>
      <c r="N1469" s="75" t="s">
        <v>654</v>
      </c>
      <c r="O1469" s="75" t="s">
        <v>203</v>
      </c>
      <c r="P1469" s="134" t="str">
        <f>IF(AND('331-CT'!$E$7=TH!H1469,OR(N1469="331",O1469="331")),"x","")</f>
        <v/>
      </c>
    </row>
    <row r="1470" spans="1:16" ht="18" hidden="1" customHeight="1">
      <c r="A1470" s="72">
        <f t="shared" si="59"/>
        <v>2016</v>
      </c>
      <c r="B1470" s="72">
        <f t="shared" si="60"/>
        <v>5</v>
      </c>
      <c r="C1470" s="73">
        <v>42509</v>
      </c>
      <c r="D1470" s="73" t="s">
        <v>504</v>
      </c>
      <c r="E1470" s="73">
        <v>42509</v>
      </c>
      <c r="F1470" s="76" t="s">
        <v>462</v>
      </c>
      <c r="G1470" s="265" t="s">
        <v>1386</v>
      </c>
      <c r="H1470" s="122" t="s">
        <v>828</v>
      </c>
      <c r="I1470" s="122"/>
      <c r="J1470" s="122"/>
      <c r="K1470" s="122"/>
      <c r="L1470" s="122"/>
      <c r="M1470" s="74">
        <v>1145000</v>
      </c>
      <c r="N1470" s="75" t="s">
        <v>654</v>
      </c>
      <c r="O1470" s="75" t="s">
        <v>203</v>
      </c>
      <c r="P1470" s="134" t="str">
        <f>IF(AND('331-CT'!$E$7=TH!H1470,OR(N1470="331",O1470="331")),"x","")</f>
        <v/>
      </c>
    </row>
    <row r="1471" spans="1:16" ht="18" hidden="1" customHeight="1">
      <c r="A1471" s="72">
        <f t="shared" si="59"/>
        <v>2016</v>
      </c>
      <c r="B1471" s="72">
        <f t="shared" si="60"/>
        <v>5</v>
      </c>
      <c r="C1471" s="73">
        <v>42509</v>
      </c>
      <c r="D1471" s="73" t="s">
        <v>21</v>
      </c>
      <c r="E1471" s="73">
        <v>42509</v>
      </c>
      <c r="F1471" s="76" t="s">
        <v>1266</v>
      </c>
      <c r="G1471" s="265" t="s">
        <v>1242</v>
      </c>
      <c r="H1471" s="122" t="s">
        <v>1200</v>
      </c>
      <c r="I1471" s="122"/>
      <c r="J1471" s="122"/>
      <c r="K1471" s="122"/>
      <c r="L1471" s="122"/>
      <c r="M1471" s="74">
        <v>14000000</v>
      </c>
      <c r="N1471" s="75" t="s">
        <v>54</v>
      </c>
      <c r="O1471" s="75" t="s">
        <v>39</v>
      </c>
      <c r="P1471" s="134" t="str">
        <f>IF(AND('331-CT'!$E$7=TH!H1471,OR(N1471="331",O1471="331")),"x","")</f>
        <v/>
      </c>
    </row>
    <row r="1472" spans="1:16" ht="18" hidden="1" customHeight="1">
      <c r="A1472" s="72">
        <f t="shared" si="59"/>
        <v>2016</v>
      </c>
      <c r="B1472" s="72">
        <f t="shared" si="60"/>
        <v>5</v>
      </c>
      <c r="C1472" s="73">
        <v>42509</v>
      </c>
      <c r="D1472" s="73" t="s">
        <v>505</v>
      </c>
      <c r="E1472" s="73">
        <v>42509</v>
      </c>
      <c r="F1472" s="76" t="s">
        <v>1227</v>
      </c>
      <c r="G1472" s="265" t="s">
        <v>1242</v>
      </c>
      <c r="H1472" s="122" t="s">
        <v>1200</v>
      </c>
      <c r="I1472" s="122"/>
      <c r="J1472" s="122"/>
      <c r="K1472" s="122"/>
      <c r="L1472" s="122"/>
      <c r="M1472" s="74">
        <v>14000000</v>
      </c>
      <c r="N1472" s="75" t="s">
        <v>39</v>
      </c>
      <c r="O1472" s="75" t="s">
        <v>203</v>
      </c>
      <c r="P1472" s="134" t="str">
        <f>IF(AND('331-CT'!$E$7=TH!H1472,OR(N1472="331",O1472="331")),"x","")</f>
        <v/>
      </c>
    </row>
    <row r="1473" spans="1:16" ht="18" hidden="1" customHeight="1">
      <c r="A1473" s="72">
        <f t="shared" si="59"/>
        <v>2016</v>
      </c>
      <c r="B1473" s="72">
        <f t="shared" si="60"/>
        <v>5</v>
      </c>
      <c r="C1473" s="73">
        <v>42509</v>
      </c>
      <c r="D1473" s="73" t="s">
        <v>17</v>
      </c>
      <c r="E1473" s="73">
        <v>42509</v>
      </c>
      <c r="F1473" s="76" t="s">
        <v>1194</v>
      </c>
      <c r="G1473" s="265" t="s">
        <v>1242</v>
      </c>
      <c r="H1473" s="122" t="s">
        <v>1058</v>
      </c>
      <c r="I1473" s="122"/>
      <c r="J1473" s="122"/>
      <c r="K1473" s="122"/>
      <c r="L1473" s="122"/>
      <c r="M1473" s="74">
        <v>6557460</v>
      </c>
      <c r="N1473" s="75" t="s">
        <v>239</v>
      </c>
      <c r="O1473" s="75" t="s">
        <v>54</v>
      </c>
      <c r="P1473" s="134" t="str">
        <f>IF(AND('331-CT'!$E$7=TH!H1473,OR(N1473="331",O1473="331")),"x","")</f>
        <v/>
      </c>
    </row>
    <row r="1474" spans="1:16" ht="18" hidden="1" customHeight="1">
      <c r="A1474" s="72">
        <f t="shared" si="59"/>
        <v>2016</v>
      </c>
      <c r="B1474" s="72">
        <f t="shared" si="60"/>
        <v>5</v>
      </c>
      <c r="C1474" s="73">
        <v>42510</v>
      </c>
      <c r="D1474" s="73" t="s">
        <v>78</v>
      </c>
      <c r="E1474" s="73">
        <v>42510</v>
      </c>
      <c r="F1474" s="76" t="s">
        <v>1387</v>
      </c>
      <c r="G1474" s="265" t="s">
        <v>1388</v>
      </c>
      <c r="H1474" s="122" t="s">
        <v>1389</v>
      </c>
      <c r="I1474" s="122"/>
      <c r="J1474" s="122"/>
      <c r="K1474" s="122"/>
      <c r="L1474" s="122"/>
      <c r="M1474" s="74">
        <v>8409091</v>
      </c>
      <c r="N1474" s="75" t="s">
        <v>241</v>
      </c>
      <c r="O1474" s="75" t="s">
        <v>18</v>
      </c>
      <c r="P1474" s="134" t="str">
        <f>IF(AND('331-CT'!$E$7=TH!H1474,OR(N1474="331",O1474="331")),"x","")</f>
        <v/>
      </c>
    </row>
    <row r="1475" spans="1:16" ht="18" hidden="1" customHeight="1">
      <c r="A1475" s="72">
        <f t="shared" si="59"/>
        <v>2016</v>
      </c>
      <c r="B1475" s="72">
        <f t="shared" si="60"/>
        <v>5</v>
      </c>
      <c r="C1475" s="73">
        <v>42510</v>
      </c>
      <c r="D1475" s="73" t="s">
        <v>78</v>
      </c>
      <c r="E1475" s="73">
        <v>42510</v>
      </c>
      <c r="F1475" s="76" t="s">
        <v>1390</v>
      </c>
      <c r="G1475" s="265" t="s">
        <v>1388</v>
      </c>
      <c r="H1475" s="122" t="s">
        <v>1389</v>
      </c>
      <c r="I1475" s="122"/>
      <c r="J1475" s="122"/>
      <c r="K1475" s="122"/>
      <c r="L1475" s="122"/>
      <c r="M1475" s="74">
        <v>840909</v>
      </c>
      <c r="N1475" s="75" t="s">
        <v>19</v>
      </c>
      <c r="O1475" s="75" t="s">
        <v>18</v>
      </c>
      <c r="P1475" s="134" t="str">
        <f>IF(AND('331-CT'!$E$7=TH!H1475,OR(N1475="331",O1475="331")),"x","")</f>
        <v/>
      </c>
    </row>
    <row r="1476" spans="1:16" ht="18" hidden="1" customHeight="1">
      <c r="A1476" s="72">
        <f t="shared" si="59"/>
        <v>2016</v>
      </c>
      <c r="B1476" s="72">
        <f t="shared" si="60"/>
        <v>5</v>
      </c>
      <c r="C1476" s="73">
        <v>42515</v>
      </c>
      <c r="D1476" s="73" t="s">
        <v>21</v>
      </c>
      <c r="E1476" s="73">
        <v>42515</v>
      </c>
      <c r="F1476" s="76" t="s">
        <v>1266</v>
      </c>
      <c r="G1476" s="265" t="s">
        <v>1242</v>
      </c>
      <c r="H1476" s="122" t="s">
        <v>1200</v>
      </c>
      <c r="I1476" s="122"/>
      <c r="J1476" s="122"/>
      <c r="K1476" s="122"/>
      <c r="L1476" s="122"/>
      <c r="M1476" s="74">
        <v>85000000</v>
      </c>
      <c r="N1476" s="75" t="s">
        <v>54</v>
      </c>
      <c r="O1476" s="75" t="s">
        <v>39</v>
      </c>
      <c r="P1476" s="134" t="str">
        <f>IF(AND('331-CT'!$E$7=TH!H1476,OR(N1476="331",O1476="331")),"x","")</f>
        <v/>
      </c>
    </row>
    <row r="1477" spans="1:16" ht="18" hidden="1" customHeight="1">
      <c r="A1477" s="72">
        <f t="shared" si="59"/>
        <v>2016</v>
      </c>
      <c r="B1477" s="72">
        <f t="shared" si="60"/>
        <v>5</v>
      </c>
      <c r="C1477" s="73">
        <v>42515</v>
      </c>
      <c r="D1477" s="73" t="s">
        <v>506</v>
      </c>
      <c r="E1477" s="73">
        <v>42515</v>
      </c>
      <c r="F1477" s="76" t="s">
        <v>1227</v>
      </c>
      <c r="G1477" s="265" t="s">
        <v>1242</v>
      </c>
      <c r="H1477" s="122" t="s">
        <v>1200</v>
      </c>
      <c r="I1477" s="122"/>
      <c r="J1477" s="122"/>
      <c r="K1477" s="122"/>
      <c r="L1477" s="122"/>
      <c r="M1477" s="74">
        <v>85000000</v>
      </c>
      <c r="N1477" s="75" t="s">
        <v>39</v>
      </c>
      <c r="O1477" s="75" t="s">
        <v>203</v>
      </c>
      <c r="P1477" s="134" t="str">
        <f>IF(AND('331-CT'!$E$7=TH!H1477,OR(N1477="331",O1477="331")),"x","")</f>
        <v/>
      </c>
    </row>
    <row r="1478" spans="1:16" ht="18" hidden="1" customHeight="1">
      <c r="A1478" s="72">
        <f t="shared" si="59"/>
        <v>2016</v>
      </c>
      <c r="B1478" s="72">
        <f t="shared" si="60"/>
        <v>5</v>
      </c>
      <c r="C1478" s="73">
        <v>42515</v>
      </c>
      <c r="D1478" s="73" t="s">
        <v>507</v>
      </c>
      <c r="E1478" s="73">
        <v>42515</v>
      </c>
      <c r="F1478" s="76" t="s">
        <v>1195</v>
      </c>
      <c r="G1478" s="265" t="s">
        <v>1242</v>
      </c>
      <c r="H1478" s="122" t="s">
        <v>307</v>
      </c>
      <c r="I1478" s="122"/>
      <c r="J1478" s="122"/>
      <c r="K1478" s="122"/>
      <c r="L1478" s="122"/>
      <c r="M1478" s="74">
        <v>40000000</v>
      </c>
      <c r="N1478" s="75" t="s">
        <v>54</v>
      </c>
      <c r="O1478" s="75" t="s">
        <v>203</v>
      </c>
      <c r="P1478" s="134" t="str">
        <f>IF(AND('331-CT'!$E$7=TH!H1478,OR(N1478="331",O1478="331")),"x","")</f>
        <v/>
      </c>
    </row>
    <row r="1479" spans="1:16" ht="18" hidden="1" customHeight="1">
      <c r="A1479" s="72">
        <f t="shared" si="59"/>
        <v>2016</v>
      </c>
      <c r="B1479" s="72">
        <f t="shared" si="60"/>
        <v>5</v>
      </c>
      <c r="C1479" s="73">
        <v>42515</v>
      </c>
      <c r="D1479" s="73" t="s">
        <v>17</v>
      </c>
      <c r="E1479" s="73">
        <v>42515</v>
      </c>
      <c r="F1479" s="76" t="s">
        <v>1194</v>
      </c>
      <c r="G1479" s="265" t="s">
        <v>1242</v>
      </c>
      <c r="H1479" s="122" t="s">
        <v>313</v>
      </c>
      <c r="I1479" s="122"/>
      <c r="J1479" s="122"/>
      <c r="K1479" s="122"/>
      <c r="L1479" s="122"/>
      <c r="M1479" s="74">
        <v>7935469</v>
      </c>
      <c r="N1479" s="75" t="s">
        <v>239</v>
      </c>
      <c r="O1479" s="75" t="s">
        <v>54</v>
      </c>
      <c r="P1479" s="134" t="str">
        <f>IF(AND('331-CT'!$E$7=TH!H1479,OR(N1479="331",O1479="331")),"x","")</f>
        <v/>
      </c>
    </row>
    <row r="1480" spans="1:16" ht="18" hidden="1" customHeight="1">
      <c r="A1480" s="72">
        <f t="shared" si="59"/>
        <v>2016</v>
      </c>
      <c r="B1480" s="72">
        <f t="shared" si="60"/>
        <v>5</v>
      </c>
      <c r="C1480" s="73">
        <v>42515</v>
      </c>
      <c r="D1480" s="73" t="s">
        <v>17</v>
      </c>
      <c r="E1480" s="73">
        <v>42515</v>
      </c>
      <c r="F1480" s="76" t="s">
        <v>1194</v>
      </c>
      <c r="G1480" s="265" t="s">
        <v>1242</v>
      </c>
      <c r="H1480" s="122" t="s">
        <v>314</v>
      </c>
      <c r="I1480" s="122"/>
      <c r="J1480" s="122"/>
      <c r="K1480" s="122"/>
      <c r="L1480" s="122"/>
      <c r="M1480" s="74">
        <v>15870937</v>
      </c>
      <c r="N1480" s="75" t="s">
        <v>239</v>
      </c>
      <c r="O1480" s="75" t="s">
        <v>54</v>
      </c>
      <c r="P1480" s="134" t="str">
        <f>IF(AND('331-CT'!$E$7=TH!H1480,OR(N1480="331",O1480="331")),"x","")</f>
        <v/>
      </c>
    </row>
    <row r="1481" spans="1:16" ht="18" hidden="1" customHeight="1">
      <c r="A1481" s="72">
        <f t="shared" si="59"/>
        <v>2016</v>
      </c>
      <c r="B1481" s="72">
        <f t="shared" si="60"/>
        <v>5</v>
      </c>
      <c r="C1481" s="73">
        <v>42515</v>
      </c>
      <c r="D1481" s="73" t="s">
        <v>17</v>
      </c>
      <c r="E1481" s="73">
        <v>42515</v>
      </c>
      <c r="F1481" s="76" t="s">
        <v>1194</v>
      </c>
      <c r="G1481" s="265" t="s">
        <v>1242</v>
      </c>
      <c r="H1481" s="122" t="s">
        <v>316</v>
      </c>
      <c r="I1481" s="122"/>
      <c r="J1481" s="122"/>
      <c r="K1481" s="122"/>
      <c r="L1481" s="122"/>
      <c r="M1481" s="74">
        <v>12696750</v>
      </c>
      <c r="N1481" s="75" t="s">
        <v>239</v>
      </c>
      <c r="O1481" s="75" t="s">
        <v>54</v>
      </c>
      <c r="P1481" s="134" t="str">
        <f>IF(AND('331-CT'!$E$7=TH!H1481,OR(N1481="331",O1481="331")),"x","")</f>
        <v/>
      </c>
    </row>
    <row r="1482" spans="1:16" ht="18" hidden="1" customHeight="1">
      <c r="A1482" s="72">
        <f t="shared" si="59"/>
        <v>2016</v>
      </c>
      <c r="B1482" s="72">
        <f t="shared" si="60"/>
        <v>5</v>
      </c>
      <c r="C1482" s="73">
        <v>42515</v>
      </c>
      <c r="D1482" s="73" t="s">
        <v>17</v>
      </c>
      <c r="E1482" s="73">
        <v>42515</v>
      </c>
      <c r="F1482" s="76" t="s">
        <v>1194</v>
      </c>
      <c r="G1482" s="265" t="s">
        <v>1242</v>
      </c>
      <c r="H1482" s="122" t="s">
        <v>315</v>
      </c>
      <c r="I1482" s="122"/>
      <c r="J1482" s="122"/>
      <c r="K1482" s="122"/>
      <c r="L1482" s="122"/>
      <c r="M1482" s="74">
        <v>11903203</v>
      </c>
      <c r="N1482" s="75" t="s">
        <v>239</v>
      </c>
      <c r="O1482" s="75" t="s">
        <v>54</v>
      </c>
      <c r="P1482" s="134" t="str">
        <f>IF(AND('331-CT'!$E$7=TH!H1482,OR(N1482="331",O1482="331")),"x","")</f>
        <v/>
      </c>
    </row>
    <row r="1483" spans="1:16" ht="18" hidden="1" customHeight="1">
      <c r="A1483" s="72">
        <f t="shared" si="59"/>
        <v>2016</v>
      </c>
      <c r="B1483" s="72">
        <f t="shared" si="60"/>
        <v>5</v>
      </c>
      <c r="C1483" s="73">
        <v>42515</v>
      </c>
      <c r="D1483" s="73" t="s">
        <v>17</v>
      </c>
      <c r="E1483" s="73">
        <v>42515</v>
      </c>
      <c r="F1483" s="76" t="s">
        <v>1194</v>
      </c>
      <c r="G1483" s="265" t="s">
        <v>1242</v>
      </c>
      <c r="H1483" s="122" t="s">
        <v>317</v>
      </c>
      <c r="I1483" s="122"/>
      <c r="J1483" s="122"/>
      <c r="K1483" s="122"/>
      <c r="L1483" s="122"/>
      <c r="M1483" s="74">
        <v>7935469</v>
      </c>
      <c r="N1483" s="75" t="s">
        <v>239</v>
      </c>
      <c r="O1483" s="75" t="s">
        <v>54</v>
      </c>
      <c r="P1483" s="134" t="str">
        <f>IF(AND('331-CT'!$E$7=TH!H1483,OR(N1483="331",O1483="331")),"x","")</f>
        <v/>
      </c>
    </row>
    <row r="1484" spans="1:16" ht="18" hidden="1" customHeight="1">
      <c r="A1484" s="72">
        <f t="shared" si="59"/>
        <v>2016</v>
      </c>
      <c r="B1484" s="72">
        <f t="shared" si="60"/>
        <v>5</v>
      </c>
      <c r="C1484" s="73">
        <v>42515</v>
      </c>
      <c r="D1484" s="73" t="s">
        <v>17</v>
      </c>
      <c r="E1484" s="73">
        <v>42515</v>
      </c>
      <c r="F1484" s="76" t="s">
        <v>1194</v>
      </c>
      <c r="G1484" s="265" t="s">
        <v>1242</v>
      </c>
      <c r="H1484" s="122" t="s">
        <v>318</v>
      </c>
      <c r="I1484" s="122"/>
      <c r="J1484" s="122"/>
      <c r="K1484" s="122"/>
      <c r="L1484" s="122"/>
      <c r="M1484" s="74">
        <v>11903203</v>
      </c>
      <c r="N1484" s="75" t="s">
        <v>239</v>
      </c>
      <c r="O1484" s="75" t="s">
        <v>54</v>
      </c>
      <c r="P1484" s="134" t="str">
        <f>IF(AND('331-CT'!$E$7=TH!H1484,OR(N1484="331",O1484="331")),"x","")</f>
        <v/>
      </c>
    </row>
    <row r="1485" spans="1:16" ht="18" hidden="1" customHeight="1">
      <c r="A1485" s="72">
        <f t="shared" si="59"/>
        <v>2016</v>
      </c>
      <c r="B1485" s="72">
        <f t="shared" si="60"/>
        <v>5</v>
      </c>
      <c r="C1485" s="73">
        <v>42515</v>
      </c>
      <c r="D1485" s="73" t="s">
        <v>17</v>
      </c>
      <c r="E1485" s="73">
        <v>42515</v>
      </c>
      <c r="F1485" s="76" t="s">
        <v>1194</v>
      </c>
      <c r="G1485" s="265" t="s">
        <v>1242</v>
      </c>
      <c r="H1485" s="122" t="s">
        <v>319</v>
      </c>
      <c r="I1485" s="122"/>
      <c r="J1485" s="122"/>
      <c r="K1485" s="122"/>
      <c r="L1485" s="122"/>
      <c r="M1485" s="74">
        <v>15870937</v>
      </c>
      <c r="N1485" s="75" t="s">
        <v>239</v>
      </c>
      <c r="O1485" s="75" t="s">
        <v>54</v>
      </c>
      <c r="P1485" s="134" t="str">
        <f>IF(AND('331-CT'!$E$7=TH!H1485,OR(N1485="331",O1485="331")),"x","")</f>
        <v/>
      </c>
    </row>
    <row r="1486" spans="1:16" ht="18" hidden="1" customHeight="1">
      <c r="A1486" s="72">
        <f t="shared" si="59"/>
        <v>2016</v>
      </c>
      <c r="B1486" s="72">
        <f t="shared" si="60"/>
        <v>5</v>
      </c>
      <c r="C1486" s="73">
        <v>42515</v>
      </c>
      <c r="D1486" s="73" t="s">
        <v>17</v>
      </c>
      <c r="E1486" s="73">
        <v>42515</v>
      </c>
      <c r="F1486" s="76" t="s">
        <v>1194</v>
      </c>
      <c r="G1486" s="265" t="s">
        <v>1242</v>
      </c>
      <c r="H1486" s="122" t="s">
        <v>421</v>
      </c>
      <c r="I1486" s="122"/>
      <c r="J1486" s="122"/>
      <c r="K1486" s="122"/>
      <c r="L1486" s="122"/>
      <c r="M1486" s="74">
        <v>7935469</v>
      </c>
      <c r="N1486" s="75" t="s">
        <v>239</v>
      </c>
      <c r="O1486" s="75" t="s">
        <v>54</v>
      </c>
      <c r="P1486" s="134" t="str">
        <f>IF(AND('331-CT'!$E$7=TH!H1486,OR(N1486="331",O1486="331")),"x","")</f>
        <v/>
      </c>
    </row>
    <row r="1487" spans="1:16" ht="18" hidden="1" customHeight="1">
      <c r="A1487" s="72">
        <f t="shared" si="59"/>
        <v>2016</v>
      </c>
      <c r="B1487" s="72">
        <f t="shared" si="60"/>
        <v>5</v>
      </c>
      <c r="C1487" s="73">
        <v>42515</v>
      </c>
      <c r="D1487" s="73" t="s">
        <v>17</v>
      </c>
      <c r="E1487" s="73">
        <v>42515</v>
      </c>
      <c r="F1487" s="76" t="s">
        <v>1194</v>
      </c>
      <c r="G1487" s="265" t="s">
        <v>1242</v>
      </c>
      <c r="H1487" s="122" t="s">
        <v>455</v>
      </c>
      <c r="I1487" s="122"/>
      <c r="J1487" s="122"/>
      <c r="K1487" s="122"/>
      <c r="L1487" s="122"/>
      <c r="M1487" s="74">
        <v>7935470</v>
      </c>
      <c r="N1487" s="75" t="s">
        <v>239</v>
      </c>
      <c r="O1487" s="75" t="s">
        <v>54</v>
      </c>
      <c r="P1487" s="134" t="str">
        <f>IF(AND('331-CT'!$E$7=TH!H1487,OR(N1487="331",O1487="331")),"x","")</f>
        <v/>
      </c>
    </row>
    <row r="1488" spans="1:16" ht="18" hidden="1" customHeight="1">
      <c r="A1488" s="72">
        <f t="shared" si="59"/>
        <v>2016</v>
      </c>
      <c r="B1488" s="72">
        <f t="shared" si="60"/>
        <v>5</v>
      </c>
      <c r="C1488" s="73">
        <v>42515</v>
      </c>
      <c r="D1488" s="73" t="s">
        <v>17</v>
      </c>
      <c r="E1488" s="73">
        <v>42515</v>
      </c>
      <c r="F1488" s="76" t="s">
        <v>1194</v>
      </c>
      <c r="G1488" s="265" t="s">
        <v>1242</v>
      </c>
      <c r="H1488" s="122" t="s">
        <v>320</v>
      </c>
      <c r="I1488" s="122"/>
      <c r="J1488" s="122"/>
      <c r="K1488" s="122"/>
      <c r="L1488" s="122"/>
      <c r="M1488" s="74">
        <v>11109656</v>
      </c>
      <c r="N1488" s="75" t="s">
        <v>239</v>
      </c>
      <c r="O1488" s="75" t="s">
        <v>54</v>
      </c>
      <c r="P1488" s="134" t="str">
        <f>IF(AND('331-CT'!$E$7=TH!H1488,OR(N1488="331",O1488="331")),"x","")</f>
        <v/>
      </c>
    </row>
    <row r="1489" spans="1:16" ht="18" hidden="1" customHeight="1">
      <c r="A1489" s="72">
        <f t="shared" si="59"/>
        <v>2016</v>
      </c>
      <c r="B1489" s="72">
        <f t="shared" si="60"/>
        <v>5</v>
      </c>
      <c r="C1489" s="73">
        <v>42515</v>
      </c>
      <c r="D1489" s="73" t="s">
        <v>17</v>
      </c>
      <c r="E1489" s="73">
        <v>42515</v>
      </c>
      <c r="F1489" s="76" t="s">
        <v>1194</v>
      </c>
      <c r="G1489" s="265" t="s">
        <v>1242</v>
      </c>
      <c r="H1489" s="122" t="s">
        <v>321</v>
      </c>
      <c r="I1489" s="122"/>
      <c r="J1489" s="122"/>
      <c r="K1489" s="122"/>
      <c r="L1489" s="122"/>
      <c r="M1489" s="74">
        <v>11903203</v>
      </c>
      <c r="N1489" s="75" t="s">
        <v>239</v>
      </c>
      <c r="O1489" s="75" t="s">
        <v>54</v>
      </c>
      <c r="P1489" s="134" t="str">
        <f>IF(AND('331-CT'!$E$7=TH!H1489,OR(N1489="331",O1489="331")),"x","")</f>
        <v/>
      </c>
    </row>
    <row r="1490" spans="1:16" ht="18" hidden="1" customHeight="1">
      <c r="A1490" s="72">
        <f t="shared" si="59"/>
        <v>2016</v>
      </c>
      <c r="B1490" s="72">
        <f t="shared" si="60"/>
        <v>5</v>
      </c>
      <c r="C1490" s="73">
        <v>42515</v>
      </c>
      <c r="D1490" s="73" t="s">
        <v>17</v>
      </c>
      <c r="E1490" s="73">
        <v>42515</v>
      </c>
      <c r="F1490" s="76" t="s">
        <v>1194</v>
      </c>
      <c r="G1490" s="265" t="s">
        <v>1242</v>
      </c>
      <c r="H1490" s="122" t="s">
        <v>416</v>
      </c>
      <c r="I1490" s="122"/>
      <c r="J1490" s="122"/>
      <c r="K1490" s="122"/>
      <c r="L1490" s="122"/>
      <c r="M1490" s="74">
        <v>11903203</v>
      </c>
      <c r="N1490" s="75" t="s">
        <v>239</v>
      </c>
      <c r="O1490" s="75" t="s">
        <v>54</v>
      </c>
      <c r="P1490" s="134" t="str">
        <f>IF(AND('331-CT'!$E$7=TH!H1490,OR(N1490="331",O1490="331")),"x","")</f>
        <v/>
      </c>
    </row>
    <row r="1491" spans="1:16" ht="18" hidden="1" customHeight="1">
      <c r="A1491" s="72">
        <f t="shared" si="59"/>
        <v>2016</v>
      </c>
      <c r="B1491" s="72">
        <f t="shared" si="60"/>
        <v>5</v>
      </c>
      <c r="C1491" s="73">
        <v>42515</v>
      </c>
      <c r="D1491" s="73" t="s">
        <v>508</v>
      </c>
      <c r="E1491" s="73">
        <v>42515</v>
      </c>
      <c r="F1491" s="76" t="s">
        <v>1391</v>
      </c>
      <c r="G1491" s="265" t="s">
        <v>1392</v>
      </c>
      <c r="H1491" s="122" t="s">
        <v>188</v>
      </c>
      <c r="I1491" s="122"/>
      <c r="J1491" s="122"/>
      <c r="K1491" s="122"/>
      <c r="L1491" s="122"/>
      <c r="M1491" s="74">
        <v>10648600</v>
      </c>
      <c r="N1491" s="75" t="s">
        <v>241</v>
      </c>
      <c r="O1491" s="75" t="s">
        <v>203</v>
      </c>
      <c r="P1491" s="134" t="str">
        <f>IF(AND('331-CT'!$E$7=TH!H1491,OR(N1491="331",O1491="331")),"x","")</f>
        <v/>
      </c>
    </row>
    <row r="1492" spans="1:16" ht="18" hidden="1" customHeight="1">
      <c r="A1492" s="72">
        <f t="shared" si="59"/>
        <v>2016</v>
      </c>
      <c r="B1492" s="72">
        <f t="shared" si="60"/>
        <v>5</v>
      </c>
      <c r="C1492" s="73">
        <v>42515</v>
      </c>
      <c r="D1492" s="73" t="s">
        <v>508</v>
      </c>
      <c r="E1492" s="73">
        <v>42515</v>
      </c>
      <c r="F1492" s="76" t="s">
        <v>1393</v>
      </c>
      <c r="G1492" s="265" t="s">
        <v>1392</v>
      </c>
      <c r="H1492" s="122" t="s">
        <v>188</v>
      </c>
      <c r="I1492" s="122"/>
      <c r="J1492" s="122"/>
      <c r="K1492" s="122"/>
      <c r="L1492" s="122"/>
      <c r="M1492" s="74">
        <v>532430</v>
      </c>
      <c r="N1492" s="75" t="s">
        <v>19</v>
      </c>
      <c r="O1492" s="75" t="s">
        <v>203</v>
      </c>
      <c r="P1492" s="134" t="str">
        <f>IF(AND('331-CT'!$E$7=TH!H1492,OR(N1492="331",O1492="331")),"x","")</f>
        <v/>
      </c>
    </row>
    <row r="1493" spans="1:16" ht="18" hidden="1" customHeight="1">
      <c r="A1493" s="72">
        <f t="shared" si="59"/>
        <v>2016</v>
      </c>
      <c r="B1493" s="72">
        <f t="shared" si="60"/>
        <v>5</v>
      </c>
      <c r="C1493" s="73">
        <v>42516</v>
      </c>
      <c r="D1493" s="73" t="s">
        <v>509</v>
      </c>
      <c r="E1493" s="73">
        <v>42516</v>
      </c>
      <c r="F1493" s="76" t="s">
        <v>1394</v>
      </c>
      <c r="G1493" s="265" t="s">
        <v>1395</v>
      </c>
      <c r="H1493" s="122" t="s">
        <v>1396</v>
      </c>
      <c r="I1493" s="122"/>
      <c r="J1493" s="122"/>
      <c r="K1493" s="122"/>
      <c r="L1493" s="122"/>
      <c r="M1493" s="74">
        <v>9090909</v>
      </c>
      <c r="N1493" s="75" t="s">
        <v>654</v>
      </c>
      <c r="O1493" s="75" t="s">
        <v>203</v>
      </c>
      <c r="P1493" s="134" t="str">
        <f>IF(AND('331-CT'!$E$7=TH!H1493,OR(N1493="331",O1493="331")),"x","")</f>
        <v/>
      </c>
    </row>
    <row r="1494" spans="1:16" ht="18" hidden="1" customHeight="1">
      <c r="A1494" s="72">
        <f t="shared" si="59"/>
        <v>2016</v>
      </c>
      <c r="B1494" s="72">
        <f t="shared" si="60"/>
        <v>5</v>
      </c>
      <c r="C1494" s="73">
        <v>42516</v>
      </c>
      <c r="D1494" s="73" t="s">
        <v>509</v>
      </c>
      <c r="E1494" s="73">
        <v>42516</v>
      </c>
      <c r="F1494" s="76" t="s">
        <v>1397</v>
      </c>
      <c r="G1494" s="265" t="s">
        <v>1395</v>
      </c>
      <c r="H1494" s="122" t="s">
        <v>1396</v>
      </c>
      <c r="I1494" s="122"/>
      <c r="J1494" s="122"/>
      <c r="K1494" s="122"/>
      <c r="L1494" s="122"/>
      <c r="M1494" s="74">
        <v>909091</v>
      </c>
      <c r="N1494" s="75" t="s">
        <v>1443</v>
      </c>
      <c r="O1494" s="75" t="s">
        <v>203</v>
      </c>
      <c r="P1494" s="134" t="str">
        <f>IF(AND('331-CT'!$E$7=TH!H1494,OR(N1494="331",O1494="331")),"x","")</f>
        <v/>
      </c>
    </row>
    <row r="1495" spans="1:16" ht="18" hidden="1" customHeight="1">
      <c r="A1495" s="72">
        <f t="shared" si="59"/>
        <v>2016</v>
      </c>
      <c r="B1495" s="72">
        <f t="shared" si="60"/>
        <v>5</v>
      </c>
      <c r="C1495" s="73">
        <v>42516</v>
      </c>
      <c r="D1495" s="73" t="s">
        <v>78</v>
      </c>
      <c r="E1495" s="73">
        <v>42516</v>
      </c>
      <c r="F1495" s="76" t="s">
        <v>1437</v>
      </c>
      <c r="G1495" s="265" t="s">
        <v>1438</v>
      </c>
      <c r="H1495" s="122" t="s">
        <v>648</v>
      </c>
      <c r="I1495" s="122"/>
      <c r="J1495" s="122"/>
      <c r="K1495" s="122"/>
      <c r="L1495" s="122"/>
      <c r="M1495" s="74">
        <v>28089300</v>
      </c>
      <c r="N1495" s="75" t="s">
        <v>241</v>
      </c>
      <c r="O1495" s="75" t="s">
        <v>18</v>
      </c>
      <c r="P1495" s="134" t="str">
        <f>IF(AND('331-CT'!$E$7=TH!H1495,OR(N1495="331",O1495="331")),"x","")</f>
        <v/>
      </c>
    </row>
    <row r="1496" spans="1:16" ht="18" hidden="1" customHeight="1">
      <c r="A1496" s="72">
        <f t="shared" si="59"/>
        <v>2016</v>
      </c>
      <c r="B1496" s="72">
        <f t="shared" si="60"/>
        <v>5</v>
      </c>
      <c r="C1496" s="73">
        <v>42516</v>
      </c>
      <c r="D1496" s="73" t="s">
        <v>78</v>
      </c>
      <c r="E1496" s="73">
        <v>42516</v>
      </c>
      <c r="F1496" s="76" t="s">
        <v>1439</v>
      </c>
      <c r="G1496" s="265" t="s">
        <v>1438</v>
      </c>
      <c r="H1496" s="122" t="s">
        <v>648</v>
      </c>
      <c r="I1496" s="122"/>
      <c r="J1496" s="122"/>
      <c r="K1496" s="122"/>
      <c r="L1496" s="122"/>
      <c r="M1496" s="74">
        <v>2808930</v>
      </c>
      <c r="N1496" s="75" t="s">
        <v>19</v>
      </c>
      <c r="O1496" s="75" t="s">
        <v>18</v>
      </c>
      <c r="P1496" s="134" t="str">
        <f>IF(AND('331-CT'!$E$7=TH!H1496,OR(N1496="331",O1496="331")),"x","")</f>
        <v/>
      </c>
    </row>
    <row r="1497" spans="1:16" ht="18" hidden="1" customHeight="1">
      <c r="A1497" s="72">
        <f t="shared" si="59"/>
        <v>2016</v>
      </c>
      <c r="B1497" s="72">
        <f t="shared" si="60"/>
        <v>5</v>
      </c>
      <c r="C1497" s="73">
        <v>42517</v>
      </c>
      <c r="D1497" s="73" t="s">
        <v>510</v>
      </c>
      <c r="E1497" s="73">
        <v>42517</v>
      </c>
      <c r="F1497" s="76" t="s">
        <v>462</v>
      </c>
      <c r="G1497" s="265" t="s">
        <v>1398</v>
      </c>
      <c r="H1497" s="122" t="s">
        <v>828</v>
      </c>
      <c r="I1497" s="122"/>
      <c r="J1497" s="122"/>
      <c r="K1497" s="122"/>
      <c r="L1497" s="122"/>
      <c r="M1497" s="74">
        <v>1186000</v>
      </c>
      <c r="N1497" s="75" t="s">
        <v>654</v>
      </c>
      <c r="O1497" s="75" t="s">
        <v>203</v>
      </c>
      <c r="P1497" s="134" t="str">
        <f>IF(AND('331-CT'!$E$7=TH!H1497,OR(N1497="331",O1497="331")),"x","")</f>
        <v/>
      </c>
    </row>
    <row r="1498" spans="1:16" ht="18" hidden="1" customHeight="1">
      <c r="A1498" s="72">
        <f t="shared" si="59"/>
        <v>2016</v>
      </c>
      <c r="B1498" s="72">
        <f t="shared" si="60"/>
        <v>5</v>
      </c>
      <c r="C1498" s="73">
        <v>42517</v>
      </c>
      <c r="D1498" s="73" t="s">
        <v>761</v>
      </c>
      <c r="E1498" s="73">
        <v>42517</v>
      </c>
      <c r="F1498" s="76" t="s">
        <v>1195</v>
      </c>
      <c r="G1498" s="265" t="s">
        <v>1242</v>
      </c>
      <c r="H1498" s="122" t="s">
        <v>1399</v>
      </c>
      <c r="I1498" s="122"/>
      <c r="J1498" s="122"/>
      <c r="K1498" s="122"/>
      <c r="L1498" s="122"/>
      <c r="M1498" s="74">
        <v>24000000</v>
      </c>
      <c r="N1498" s="75" t="s">
        <v>54</v>
      </c>
      <c r="O1498" s="75" t="s">
        <v>203</v>
      </c>
      <c r="P1498" s="134" t="str">
        <f>IF(AND('331-CT'!$E$7=TH!H1498,OR(N1498="331",O1498="331")),"x","")</f>
        <v/>
      </c>
    </row>
    <row r="1499" spans="1:16" ht="18" hidden="1" customHeight="1">
      <c r="A1499" s="72">
        <f t="shared" si="59"/>
        <v>2016</v>
      </c>
      <c r="B1499" s="72">
        <f t="shared" si="60"/>
        <v>5</v>
      </c>
      <c r="C1499" s="73">
        <v>42517</v>
      </c>
      <c r="D1499" s="73" t="s">
        <v>17</v>
      </c>
      <c r="E1499" s="73">
        <v>42517</v>
      </c>
      <c r="F1499" s="76" t="s">
        <v>1194</v>
      </c>
      <c r="G1499" s="265" t="s">
        <v>1242</v>
      </c>
      <c r="H1499" s="122" t="s">
        <v>325</v>
      </c>
      <c r="I1499" s="122"/>
      <c r="J1499" s="122"/>
      <c r="K1499" s="122"/>
      <c r="L1499" s="122"/>
      <c r="M1499" s="74">
        <v>11912604</v>
      </c>
      <c r="N1499" s="75" t="s">
        <v>239</v>
      </c>
      <c r="O1499" s="75" t="s">
        <v>54</v>
      </c>
      <c r="P1499" s="134" t="str">
        <f>IF(AND('331-CT'!$E$7=TH!H1499,OR(N1499="331",O1499="331")),"x","")</f>
        <v/>
      </c>
    </row>
    <row r="1500" spans="1:16" ht="18" hidden="1" customHeight="1">
      <c r="A1500" s="72">
        <f t="shared" si="59"/>
        <v>2016</v>
      </c>
      <c r="B1500" s="72">
        <f t="shared" si="60"/>
        <v>5</v>
      </c>
      <c r="C1500" s="73">
        <v>42517</v>
      </c>
      <c r="D1500" s="73" t="s">
        <v>17</v>
      </c>
      <c r="E1500" s="73">
        <v>42517</v>
      </c>
      <c r="F1500" s="76" t="s">
        <v>1194</v>
      </c>
      <c r="G1500" s="265" t="s">
        <v>1242</v>
      </c>
      <c r="H1500" s="122" t="s">
        <v>323</v>
      </c>
      <c r="I1500" s="122"/>
      <c r="J1500" s="122"/>
      <c r="K1500" s="122"/>
      <c r="L1500" s="122"/>
      <c r="M1500" s="74">
        <v>11912604</v>
      </c>
      <c r="N1500" s="75" t="s">
        <v>239</v>
      </c>
      <c r="O1500" s="75" t="s">
        <v>54</v>
      </c>
      <c r="P1500" s="134" t="str">
        <f>IF(AND('331-CT'!$E$7=TH!H1500,OR(N1500="331",O1500="331")),"x","")</f>
        <v/>
      </c>
    </row>
    <row r="1501" spans="1:16" ht="18" hidden="1" customHeight="1">
      <c r="A1501" s="72">
        <f t="shared" si="59"/>
        <v>2016</v>
      </c>
      <c r="B1501" s="72">
        <f t="shared" si="60"/>
        <v>5</v>
      </c>
      <c r="C1501" s="73">
        <v>42520</v>
      </c>
      <c r="D1501" s="73" t="s">
        <v>762</v>
      </c>
      <c r="E1501" s="73">
        <v>42520</v>
      </c>
      <c r="F1501" s="76" t="s">
        <v>1271</v>
      </c>
      <c r="G1501" s="265" t="s">
        <v>1400</v>
      </c>
      <c r="H1501" s="122" t="s">
        <v>83</v>
      </c>
      <c r="I1501" s="122"/>
      <c r="J1501" s="122"/>
      <c r="K1501" s="122"/>
      <c r="L1501" s="122"/>
      <c r="M1501" s="74">
        <v>6379636</v>
      </c>
      <c r="N1501" s="75" t="s">
        <v>241</v>
      </c>
      <c r="O1501" s="75" t="s">
        <v>203</v>
      </c>
      <c r="P1501" s="134" t="str">
        <f>IF(AND('331-CT'!$E$7=TH!H1501,OR(N1501="331",O1501="331")),"x","")</f>
        <v/>
      </c>
    </row>
    <row r="1502" spans="1:16" ht="18" hidden="1" customHeight="1">
      <c r="A1502" s="72">
        <f t="shared" si="59"/>
        <v>2016</v>
      </c>
      <c r="B1502" s="72">
        <f t="shared" si="60"/>
        <v>5</v>
      </c>
      <c r="C1502" s="73">
        <v>42520</v>
      </c>
      <c r="D1502" s="73" t="s">
        <v>762</v>
      </c>
      <c r="E1502" s="73">
        <v>42520</v>
      </c>
      <c r="F1502" s="76" t="s">
        <v>1273</v>
      </c>
      <c r="G1502" s="265" t="s">
        <v>1400</v>
      </c>
      <c r="H1502" s="122" t="s">
        <v>83</v>
      </c>
      <c r="I1502" s="122"/>
      <c r="J1502" s="122"/>
      <c r="K1502" s="122"/>
      <c r="L1502" s="122"/>
      <c r="M1502" s="74">
        <v>637964</v>
      </c>
      <c r="N1502" s="75" t="s">
        <v>19</v>
      </c>
      <c r="O1502" s="75" t="s">
        <v>203</v>
      </c>
      <c r="P1502" s="134" t="str">
        <f>IF(AND('331-CT'!$E$7=TH!H1502,OR(N1502="331",O1502="331")),"x","")</f>
        <v/>
      </c>
    </row>
    <row r="1503" spans="1:16" ht="18" hidden="1" customHeight="1">
      <c r="A1503" s="72">
        <f t="shared" si="59"/>
        <v>2016</v>
      </c>
      <c r="B1503" s="72">
        <f t="shared" si="60"/>
        <v>5</v>
      </c>
      <c r="C1503" s="73">
        <v>42521</v>
      </c>
      <c r="D1503" s="73" t="s">
        <v>763</v>
      </c>
      <c r="E1503" s="73">
        <v>42521</v>
      </c>
      <c r="F1503" s="76" t="s">
        <v>1401</v>
      </c>
      <c r="G1503" s="265" t="s">
        <v>1402</v>
      </c>
      <c r="H1503" s="122" t="s">
        <v>1403</v>
      </c>
      <c r="I1503" s="122"/>
      <c r="J1503" s="122"/>
      <c r="K1503" s="122"/>
      <c r="L1503" s="122"/>
      <c r="M1503" s="74">
        <v>3000000</v>
      </c>
      <c r="N1503" s="75" t="s">
        <v>241</v>
      </c>
      <c r="O1503" s="75" t="s">
        <v>203</v>
      </c>
      <c r="P1503" s="134" t="str">
        <f>IF(AND('331-CT'!$E$7=TH!H1503,OR(N1503="331",O1503="331")),"x","")</f>
        <v/>
      </c>
    </row>
    <row r="1504" spans="1:16" ht="18" hidden="1" customHeight="1">
      <c r="A1504" s="72">
        <f t="shared" si="59"/>
        <v>2016</v>
      </c>
      <c r="B1504" s="72">
        <f t="shared" si="60"/>
        <v>5</v>
      </c>
      <c r="C1504" s="73">
        <v>42521</v>
      </c>
      <c r="D1504" s="73" t="s">
        <v>763</v>
      </c>
      <c r="E1504" s="73">
        <v>42521</v>
      </c>
      <c r="F1504" s="76" t="s">
        <v>1404</v>
      </c>
      <c r="G1504" s="265" t="s">
        <v>1402</v>
      </c>
      <c r="H1504" s="122" t="s">
        <v>1403</v>
      </c>
      <c r="I1504" s="122"/>
      <c r="J1504" s="122"/>
      <c r="K1504" s="122"/>
      <c r="L1504" s="122"/>
      <c r="M1504" s="74">
        <v>300000</v>
      </c>
      <c r="N1504" s="75" t="s">
        <v>19</v>
      </c>
      <c r="O1504" s="75" t="s">
        <v>203</v>
      </c>
      <c r="P1504" s="134" t="str">
        <f>IF(AND('331-CT'!$E$7=TH!H1504,OR(N1504="331",O1504="331")),"x","")</f>
        <v/>
      </c>
    </row>
    <row r="1505" spans="1:16" ht="18" hidden="1" customHeight="1">
      <c r="A1505" s="72">
        <f t="shared" si="59"/>
        <v>2016</v>
      </c>
      <c r="B1505" s="72">
        <f t="shared" si="60"/>
        <v>5</v>
      </c>
      <c r="C1505" s="73">
        <v>42521</v>
      </c>
      <c r="D1505" s="73" t="s">
        <v>764</v>
      </c>
      <c r="E1505" s="73">
        <v>42521</v>
      </c>
      <c r="F1505" s="76" t="s">
        <v>1195</v>
      </c>
      <c r="G1505" s="265" t="s">
        <v>1242</v>
      </c>
      <c r="H1505" s="122" t="s">
        <v>271</v>
      </c>
      <c r="I1505" s="122"/>
      <c r="J1505" s="122"/>
      <c r="K1505" s="122"/>
      <c r="L1505" s="122"/>
      <c r="M1505" s="74">
        <v>62000000</v>
      </c>
      <c r="N1505" s="75" t="s">
        <v>54</v>
      </c>
      <c r="O1505" s="75" t="s">
        <v>203</v>
      </c>
      <c r="P1505" s="134" t="str">
        <f>IF(AND('331-CT'!$E$7=TH!H1505,OR(N1505="331",O1505="331")),"x","")</f>
        <v/>
      </c>
    </row>
    <row r="1506" spans="1:16" ht="18" hidden="1" customHeight="1">
      <c r="A1506" s="72">
        <f t="shared" si="59"/>
        <v>2016</v>
      </c>
      <c r="B1506" s="72">
        <f t="shared" si="60"/>
        <v>5</v>
      </c>
      <c r="C1506" s="73">
        <v>42521</v>
      </c>
      <c r="D1506" s="73" t="s">
        <v>17</v>
      </c>
      <c r="E1506" s="73">
        <v>42521</v>
      </c>
      <c r="F1506" s="76" t="s">
        <v>1405</v>
      </c>
      <c r="G1506" s="265" t="s">
        <v>1242</v>
      </c>
      <c r="H1506" s="122" t="s">
        <v>648</v>
      </c>
      <c r="I1506" s="122"/>
      <c r="J1506" s="122"/>
      <c r="K1506" s="122"/>
      <c r="L1506" s="122"/>
      <c r="M1506" s="74">
        <v>61262630</v>
      </c>
      <c r="N1506" s="75" t="s">
        <v>18</v>
      </c>
      <c r="O1506" s="75" t="s">
        <v>54</v>
      </c>
      <c r="P1506" s="134" t="str">
        <f>IF(AND('331-CT'!$E$7=TH!H1506,OR(N1506="331",O1506="331")),"x","")</f>
        <v/>
      </c>
    </row>
    <row r="1507" spans="1:16" ht="18" hidden="1" customHeight="1">
      <c r="A1507" s="72">
        <f t="shared" si="59"/>
        <v>2016</v>
      </c>
      <c r="B1507" s="72">
        <f t="shared" si="60"/>
        <v>5</v>
      </c>
      <c r="C1507" s="73">
        <v>42521</v>
      </c>
      <c r="D1507" s="73" t="s">
        <v>17</v>
      </c>
      <c r="E1507" s="73">
        <v>42521</v>
      </c>
      <c r="F1507" s="76" t="s">
        <v>34</v>
      </c>
      <c r="G1507" s="265" t="s">
        <v>1242</v>
      </c>
      <c r="H1507" s="122"/>
      <c r="I1507" s="122"/>
      <c r="J1507" s="122"/>
      <c r="K1507" s="122"/>
      <c r="L1507" s="122"/>
      <c r="M1507" s="74">
        <v>50631</v>
      </c>
      <c r="N1507" s="75" t="s">
        <v>241</v>
      </c>
      <c r="O1507" s="75" t="s">
        <v>54</v>
      </c>
      <c r="P1507" s="134" t="str">
        <f>IF(AND('331-CT'!$E$7=TH!H1507,OR(N1507="331",O1507="331")),"x","")</f>
        <v/>
      </c>
    </row>
    <row r="1508" spans="1:16" ht="18" hidden="1" customHeight="1">
      <c r="A1508" s="72">
        <f t="shared" si="59"/>
        <v>2016</v>
      </c>
      <c r="B1508" s="72">
        <f t="shared" si="60"/>
        <v>5</v>
      </c>
      <c r="C1508" s="73">
        <v>42521</v>
      </c>
      <c r="D1508" s="73" t="s">
        <v>17</v>
      </c>
      <c r="E1508" s="73">
        <v>42521</v>
      </c>
      <c r="F1508" s="76" t="s">
        <v>35</v>
      </c>
      <c r="G1508" s="265" t="s">
        <v>1242</v>
      </c>
      <c r="H1508" s="122"/>
      <c r="I1508" s="122"/>
      <c r="J1508" s="122"/>
      <c r="K1508" s="122"/>
      <c r="L1508" s="122"/>
      <c r="M1508" s="74">
        <v>5063</v>
      </c>
      <c r="N1508" s="75" t="s">
        <v>19</v>
      </c>
      <c r="O1508" s="75" t="s">
        <v>54</v>
      </c>
      <c r="P1508" s="134" t="str">
        <f>IF(AND('331-CT'!$E$7=TH!H1508,OR(N1508="331",O1508="331")),"x","")</f>
        <v/>
      </c>
    </row>
    <row r="1509" spans="1:16" ht="18" hidden="1" customHeight="1">
      <c r="A1509" s="72">
        <f t="shared" si="59"/>
        <v>2016</v>
      </c>
      <c r="B1509" s="72">
        <f t="shared" si="60"/>
        <v>6</v>
      </c>
      <c r="C1509" s="73">
        <v>42531</v>
      </c>
      <c r="D1509" s="73" t="s">
        <v>765</v>
      </c>
      <c r="E1509" s="73">
        <v>42531</v>
      </c>
      <c r="F1509" s="76" t="s">
        <v>1186</v>
      </c>
      <c r="G1509" s="265" t="s">
        <v>1406</v>
      </c>
      <c r="H1509" s="122" t="s">
        <v>828</v>
      </c>
      <c r="I1509" s="122"/>
      <c r="J1509" s="122"/>
      <c r="K1509" s="122"/>
      <c r="L1509" s="122"/>
      <c r="M1509" s="74">
        <v>2588000</v>
      </c>
      <c r="N1509" s="75" t="s">
        <v>654</v>
      </c>
      <c r="O1509" s="75" t="s">
        <v>203</v>
      </c>
      <c r="P1509" s="134" t="str">
        <f>IF(AND('331-CT'!$E$7=TH!H1509,OR(N1509="331",O1509="331")),"x","")</f>
        <v/>
      </c>
    </row>
    <row r="1510" spans="1:16" ht="18" hidden="1" customHeight="1">
      <c r="A1510" s="72">
        <f t="shared" si="59"/>
        <v>2016</v>
      </c>
      <c r="B1510" s="72">
        <f t="shared" si="60"/>
        <v>6</v>
      </c>
      <c r="C1510" s="73">
        <v>42531</v>
      </c>
      <c r="D1510" s="73" t="s">
        <v>770</v>
      </c>
      <c r="E1510" s="73">
        <v>42531</v>
      </c>
      <c r="F1510" s="76" t="s">
        <v>1407</v>
      </c>
      <c r="G1510" s="265" t="s">
        <v>1408</v>
      </c>
      <c r="H1510" s="122" t="s">
        <v>782</v>
      </c>
      <c r="I1510" s="122"/>
      <c r="J1510" s="122"/>
      <c r="K1510" s="122"/>
      <c r="L1510" s="122"/>
      <c r="M1510" s="74">
        <v>7272727</v>
      </c>
      <c r="N1510" s="75" t="s">
        <v>241</v>
      </c>
      <c r="O1510" s="75" t="s">
        <v>203</v>
      </c>
      <c r="P1510" s="134" t="str">
        <f>IF(AND('331-CT'!$E$7=TH!H1510,OR(N1510="331",O1510="331")),"x","")</f>
        <v/>
      </c>
    </row>
    <row r="1511" spans="1:16" ht="18" hidden="1" customHeight="1">
      <c r="A1511" s="72">
        <f t="shared" si="59"/>
        <v>2016</v>
      </c>
      <c r="B1511" s="72">
        <f t="shared" si="60"/>
        <v>6</v>
      </c>
      <c r="C1511" s="73">
        <v>42531</v>
      </c>
      <c r="D1511" s="73" t="s">
        <v>770</v>
      </c>
      <c r="E1511" s="73">
        <v>42531</v>
      </c>
      <c r="F1511" s="76" t="s">
        <v>1409</v>
      </c>
      <c r="G1511" s="265" t="s">
        <v>1408</v>
      </c>
      <c r="H1511" s="122" t="s">
        <v>782</v>
      </c>
      <c r="I1511" s="122"/>
      <c r="J1511" s="122"/>
      <c r="K1511" s="122"/>
      <c r="L1511" s="122"/>
      <c r="M1511" s="74">
        <v>727273</v>
      </c>
      <c r="N1511" s="75" t="s">
        <v>19</v>
      </c>
      <c r="O1511" s="75" t="s">
        <v>203</v>
      </c>
      <c r="P1511" s="134" t="str">
        <f>IF(AND('331-CT'!$E$7=TH!H1511,OR(N1511="331",O1511="331")),"x","")</f>
        <v/>
      </c>
    </row>
    <row r="1512" spans="1:16" ht="18" hidden="1" customHeight="1">
      <c r="A1512" s="72">
        <f t="shared" si="59"/>
        <v>2016</v>
      </c>
      <c r="B1512" s="72">
        <f t="shared" si="60"/>
        <v>6</v>
      </c>
      <c r="C1512" s="73">
        <v>42532</v>
      </c>
      <c r="D1512" s="73" t="s">
        <v>78</v>
      </c>
      <c r="E1512" s="73">
        <v>42532</v>
      </c>
      <c r="F1512" s="76" t="s">
        <v>1445</v>
      </c>
      <c r="G1512" s="265" t="s">
        <v>1446</v>
      </c>
      <c r="H1512" s="122" t="s">
        <v>648</v>
      </c>
      <c r="I1512" s="122"/>
      <c r="J1512" s="122"/>
      <c r="K1512" s="122"/>
      <c r="L1512" s="122"/>
      <c r="M1512" s="74">
        <v>25978200</v>
      </c>
      <c r="N1512" s="75" t="s">
        <v>241</v>
      </c>
      <c r="O1512" s="75" t="s">
        <v>18</v>
      </c>
      <c r="P1512" s="134" t="str">
        <f>IF(AND('331-CT'!$E$7=TH!H1512,OR(N1512="331",O1512="331")),"x","")</f>
        <v/>
      </c>
    </row>
    <row r="1513" spans="1:16" ht="18" hidden="1" customHeight="1">
      <c r="A1513" s="72">
        <f t="shared" si="59"/>
        <v>2016</v>
      </c>
      <c r="B1513" s="72">
        <f t="shared" si="60"/>
        <v>6</v>
      </c>
      <c r="C1513" s="73">
        <v>42532</v>
      </c>
      <c r="D1513" s="73" t="s">
        <v>78</v>
      </c>
      <c r="E1513" s="73">
        <v>42532</v>
      </c>
      <c r="F1513" s="76" t="s">
        <v>1447</v>
      </c>
      <c r="G1513" s="265" t="s">
        <v>1446</v>
      </c>
      <c r="H1513" s="122" t="s">
        <v>648</v>
      </c>
      <c r="I1513" s="122"/>
      <c r="J1513" s="122"/>
      <c r="K1513" s="122"/>
      <c r="L1513" s="122"/>
      <c r="M1513" s="74">
        <v>2597820</v>
      </c>
      <c r="N1513" s="75" t="s">
        <v>19</v>
      </c>
      <c r="O1513" s="75" t="s">
        <v>18</v>
      </c>
      <c r="P1513" s="134" t="str">
        <f>IF(AND('331-CT'!$E$7=TH!H1513,OR(N1513="331",O1513="331")),"x","")</f>
        <v/>
      </c>
    </row>
    <row r="1514" spans="1:16" ht="18" hidden="1" customHeight="1">
      <c r="A1514" s="72">
        <f t="shared" si="59"/>
        <v>2016</v>
      </c>
      <c r="B1514" s="72">
        <f t="shared" si="60"/>
        <v>6</v>
      </c>
      <c r="C1514" s="73">
        <v>42537</v>
      </c>
      <c r="D1514" s="73" t="s">
        <v>775</v>
      </c>
      <c r="E1514" s="73">
        <v>42537</v>
      </c>
      <c r="F1514" s="76" t="s">
        <v>1410</v>
      </c>
      <c r="G1514" s="265" t="s">
        <v>1411</v>
      </c>
      <c r="H1514" s="122" t="s">
        <v>279</v>
      </c>
      <c r="I1514" s="122"/>
      <c r="J1514" s="122"/>
      <c r="K1514" s="122"/>
      <c r="L1514" s="122"/>
      <c r="M1514" s="74">
        <v>421656</v>
      </c>
      <c r="N1514" s="75" t="s">
        <v>241</v>
      </c>
      <c r="O1514" s="75" t="s">
        <v>203</v>
      </c>
      <c r="P1514" s="134" t="str">
        <f>IF(AND('331-CT'!$E$7=TH!H1514,OR(N1514="331",O1514="331")),"x","")</f>
        <v/>
      </c>
    </row>
    <row r="1515" spans="1:16" ht="18" hidden="1" customHeight="1">
      <c r="A1515" s="72">
        <f t="shared" si="59"/>
        <v>2016</v>
      </c>
      <c r="B1515" s="72">
        <f t="shared" si="60"/>
        <v>6</v>
      </c>
      <c r="C1515" s="73">
        <v>42537</v>
      </c>
      <c r="D1515" s="73" t="s">
        <v>775</v>
      </c>
      <c r="E1515" s="73">
        <v>42537</v>
      </c>
      <c r="F1515" s="76" t="s">
        <v>1412</v>
      </c>
      <c r="G1515" s="265" t="s">
        <v>1413</v>
      </c>
      <c r="H1515" s="122" t="s">
        <v>279</v>
      </c>
      <c r="I1515" s="122"/>
      <c r="J1515" s="122"/>
      <c r="K1515" s="122"/>
      <c r="L1515" s="122"/>
      <c r="M1515" s="74">
        <v>42165</v>
      </c>
      <c r="N1515" s="75" t="s">
        <v>19</v>
      </c>
      <c r="O1515" s="75" t="s">
        <v>203</v>
      </c>
      <c r="P1515" s="134" t="str">
        <f>IF(AND('331-CT'!$E$7=TH!H1515,OR(N1515="331",O1515="331")),"x","")</f>
        <v/>
      </c>
    </row>
    <row r="1516" spans="1:16" ht="18" hidden="1" customHeight="1">
      <c r="A1516" s="72">
        <f t="shared" si="59"/>
        <v>2016</v>
      </c>
      <c r="B1516" s="72">
        <f t="shared" si="60"/>
        <v>6</v>
      </c>
      <c r="C1516" s="73">
        <v>42538</v>
      </c>
      <c r="D1516" s="73" t="s">
        <v>21</v>
      </c>
      <c r="E1516" s="73">
        <v>42538</v>
      </c>
      <c r="F1516" s="76" t="s">
        <v>1414</v>
      </c>
      <c r="G1516" s="265" t="s">
        <v>1242</v>
      </c>
      <c r="H1516" s="122"/>
      <c r="I1516" s="122"/>
      <c r="J1516" s="122"/>
      <c r="K1516" s="122">
        <v>88000</v>
      </c>
      <c r="L1516" s="122">
        <v>22305</v>
      </c>
      <c r="M1516" s="74">
        <v>1962840000</v>
      </c>
      <c r="N1516" s="75" t="s">
        <v>1240</v>
      </c>
      <c r="O1516" s="75" t="s">
        <v>54</v>
      </c>
      <c r="P1516" s="134" t="str">
        <f>IF(AND('331-CT'!$E$7=TH!H1516,OR(N1516="331",O1516="331")),"x","")</f>
        <v/>
      </c>
    </row>
    <row r="1517" spans="1:16" ht="18" hidden="1" customHeight="1">
      <c r="A1517" s="72">
        <f t="shared" si="59"/>
        <v>2016</v>
      </c>
      <c r="B1517" s="72">
        <f t="shared" si="60"/>
        <v>6</v>
      </c>
      <c r="C1517" s="73">
        <v>42538</v>
      </c>
      <c r="D1517" s="73" t="s">
        <v>17</v>
      </c>
      <c r="E1517" s="73">
        <v>42538</v>
      </c>
      <c r="F1517" s="76" t="s">
        <v>1415</v>
      </c>
      <c r="G1517" s="265" t="s">
        <v>1242</v>
      </c>
      <c r="H1517" s="122" t="s">
        <v>1058</v>
      </c>
      <c r="I1517" s="122"/>
      <c r="J1517" s="122"/>
      <c r="K1517" s="122">
        <v>88000</v>
      </c>
      <c r="L1517" s="122">
        <v>22305</v>
      </c>
      <c r="M1517" s="74">
        <v>1962840000</v>
      </c>
      <c r="N1517" s="75" t="s">
        <v>1237</v>
      </c>
      <c r="O1517" s="75" t="s">
        <v>1240</v>
      </c>
      <c r="P1517" s="134" t="str">
        <f>IF(AND('331-CT'!$E$7=TH!H1517,OR(N1517="331",O1517="331")),"x","")</f>
        <v/>
      </c>
    </row>
    <row r="1518" spans="1:16" ht="18" hidden="1" customHeight="1">
      <c r="A1518" s="72">
        <f t="shared" si="59"/>
        <v>2016</v>
      </c>
      <c r="B1518" s="72">
        <f t="shared" si="60"/>
        <v>6</v>
      </c>
      <c r="C1518" s="73">
        <v>42538</v>
      </c>
      <c r="D1518" s="73" t="s">
        <v>78</v>
      </c>
      <c r="E1518" s="73">
        <v>42538</v>
      </c>
      <c r="F1518" s="76" t="s">
        <v>1416</v>
      </c>
      <c r="G1518" s="265" t="s">
        <v>1242</v>
      </c>
      <c r="H1518" s="122" t="s">
        <v>1058</v>
      </c>
      <c r="I1518" s="122"/>
      <c r="J1518" s="122"/>
      <c r="K1518" s="122"/>
      <c r="L1518" s="122"/>
      <c r="M1518" s="74">
        <v>19800000</v>
      </c>
      <c r="N1518" s="75" t="s">
        <v>1237</v>
      </c>
      <c r="O1518" s="75" t="s">
        <v>99</v>
      </c>
      <c r="P1518" s="134" t="str">
        <f>IF(AND('331-CT'!$E$7=TH!H1518,OR(N1518="331",O1518="331")),"x","")</f>
        <v/>
      </c>
    </row>
    <row r="1519" spans="1:16" ht="18" hidden="1" customHeight="1">
      <c r="A1519" s="72">
        <f t="shared" si="59"/>
        <v>2016</v>
      </c>
      <c r="B1519" s="72">
        <f t="shared" si="60"/>
        <v>6</v>
      </c>
      <c r="C1519" s="73">
        <v>42538</v>
      </c>
      <c r="D1519" s="73" t="s">
        <v>21</v>
      </c>
      <c r="E1519" s="73">
        <v>42538</v>
      </c>
      <c r="F1519" s="76" t="s">
        <v>1266</v>
      </c>
      <c r="G1519" s="265" t="s">
        <v>1242</v>
      </c>
      <c r="H1519" s="122" t="s">
        <v>1200</v>
      </c>
      <c r="I1519" s="122"/>
      <c r="J1519" s="122"/>
      <c r="K1519" s="122"/>
      <c r="L1519" s="122"/>
      <c r="M1519" s="74">
        <v>1975000000</v>
      </c>
      <c r="N1519" s="75" t="s">
        <v>54</v>
      </c>
      <c r="O1519" s="75" t="s">
        <v>39</v>
      </c>
      <c r="P1519" s="134" t="str">
        <f>IF(AND('331-CT'!$E$7=TH!H1519,OR(N1519="331",O1519="331")),"x","")</f>
        <v/>
      </c>
    </row>
    <row r="1520" spans="1:16" ht="18" hidden="1" customHeight="1">
      <c r="A1520" s="72">
        <f t="shared" si="59"/>
        <v>2016</v>
      </c>
      <c r="B1520" s="72">
        <f t="shared" si="60"/>
        <v>6</v>
      </c>
      <c r="C1520" s="73">
        <v>42538</v>
      </c>
      <c r="D1520" s="73" t="s">
        <v>17</v>
      </c>
      <c r="E1520" s="73">
        <v>42538</v>
      </c>
      <c r="F1520" s="76" t="s">
        <v>1417</v>
      </c>
      <c r="G1520" s="265" t="s">
        <v>1242</v>
      </c>
      <c r="H1520" s="122" t="s">
        <v>1058</v>
      </c>
      <c r="I1520" s="122"/>
      <c r="J1520" s="122"/>
      <c r="K1520" s="122"/>
      <c r="L1520" s="122"/>
      <c r="M1520" s="74">
        <v>7210682</v>
      </c>
      <c r="N1520" s="75" t="s">
        <v>239</v>
      </c>
      <c r="O1520" s="75" t="s">
        <v>54</v>
      </c>
      <c r="P1520" s="134" t="str">
        <f>IF(AND('331-CT'!$E$7=TH!H1520,OR(N1520="331",O1520="331")),"x","")</f>
        <v/>
      </c>
    </row>
    <row r="1521" spans="1:16" ht="18" hidden="1" customHeight="1">
      <c r="A1521" s="72">
        <f t="shared" si="59"/>
        <v>2016</v>
      </c>
      <c r="B1521" s="72">
        <f t="shared" si="60"/>
        <v>6</v>
      </c>
      <c r="C1521" s="73">
        <v>42542</v>
      </c>
      <c r="D1521" s="73" t="s">
        <v>777</v>
      </c>
      <c r="E1521" s="73">
        <v>42542</v>
      </c>
      <c r="F1521" s="76" t="s">
        <v>1195</v>
      </c>
      <c r="G1521" s="265" t="s">
        <v>1242</v>
      </c>
      <c r="H1521" s="122" t="s">
        <v>271</v>
      </c>
      <c r="I1521" s="122"/>
      <c r="J1521" s="122"/>
      <c r="K1521" s="122"/>
      <c r="L1521" s="122"/>
      <c r="M1521" s="74">
        <v>100000000</v>
      </c>
      <c r="N1521" s="75" t="s">
        <v>54</v>
      </c>
      <c r="O1521" s="75" t="s">
        <v>203</v>
      </c>
      <c r="P1521" s="134" t="str">
        <f>IF(AND('331-CT'!$E$7=TH!H1521,OR(N1521="331",O1521="331")),"x","")</f>
        <v/>
      </c>
    </row>
    <row r="1522" spans="1:16" ht="18" hidden="1" customHeight="1">
      <c r="A1522" s="72">
        <f t="shared" si="59"/>
        <v>2016</v>
      </c>
      <c r="B1522" s="72">
        <f t="shared" si="60"/>
        <v>6</v>
      </c>
      <c r="C1522" s="73">
        <v>42542</v>
      </c>
      <c r="D1522" s="73" t="s">
        <v>777</v>
      </c>
      <c r="E1522" s="73">
        <v>42542</v>
      </c>
      <c r="F1522" s="76" t="s">
        <v>1195</v>
      </c>
      <c r="G1522" s="265" t="s">
        <v>1242</v>
      </c>
      <c r="H1522" s="122" t="s">
        <v>271</v>
      </c>
      <c r="I1522" s="122"/>
      <c r="J1522" s="122"/>
      <c r="K1522" s="122"/>
      <c r="L1522" s="122"/>
      <c r="M1522" s="74">
        <v>70000000</v>
      </c>
      <c r="N1522" s="75" t="s">
        <v>54</v>
      </c>
      <c r="O1522" s="75" t="s">
        <v>203</v>
      </c>
      <c r="P1522" s="134" t="str">
        <f>IF(AND('331-CT'!$E$7=TH!H1522,OR(N1522="331",O1522="331")),"x","")</f>
        <v/>
      </c>
    </row>
    <row r="1523" spans="1:16" ht="18" hidden="1" customHeight="1">
      <c r="A1523" s="72">
        <f t="shared" ref="A1523:A1586" si="61">IF(C1523&lt;&gt;"",YEAR(C1523),"")</f>
        <v>2016</v>
      </c>
      <c r="B1523" s="72">
        <f t="shared" ref="B1523:B1586" si="62">IF(C1523&lt;&gt;"",MONTH(C1523),"")</f>
        <v>6</v>
      </c>
      <c r="C1523" s="73">
        <v>42542</v>
      </c>
      <c r="D1523" s="73" t="s">
        <v>17</v>
      </c>
      <c r="E1523" s="73">
        <v>42542</v>
      </c>
      <c r="F1523" s="76" t="s">
        <v>1194</v>
      </c>
      <c r="G1523" s="265" t="s">
        <v>1242</v>
      </c>
      <c r="H1523" s="122" t="s">
        <v>313</v>
      </c>
      <c r="I1523" s="122"/>
      <c r="J1523" s="122"/>
      <c r="K1523" s="122"/>
      <c r="L1523" s="122"/>
      <c r="M1523" s="74">
        <v>8187032</v>
      </c>
      <c r="N1523" s="75" t="s">
        <v>239</v>
      </c>
      <c r="O1523" s="75" t="s">
        <v>54</v>
      </c>
      <c r="P1523" s="134" t="str">
        <f>IF(AND('331-CT'!$E$7=TH!H1523,OR(N1523="331",O1523="331")),"x","")</f>
        <v/>
      </c>
    </row>
    <row r="1524" spans="1:16" ht="18" hidden="1" customHeight="1">
      <c r="A1524" s="72">
        <f t="shared" si="61"/>
        <v>2016</v>
      </c>
      <c r="B1524" s="72">
        <f t="shared" si="62"/>
        <v>6</v>
      </c>
      <c r="C1524" s="73">
        <v>42542</v>
      </c>
      <c r="D1524" s="73" t="s">
        <v>17</v>
      </c>
      <c r="E1524" s="73">
        <v>42542</v>
      </c>
      <c r="F1524" s="76" t="s">
        <v>1194</v>
      </c>
      <c r="G1524" s="265" t="s">
        <v>1242</v>
      </c>
      <c r="H1524" s="122" t="s">
        <v>314</v>
      </c>
      <c r="I1524" s="122"/>
      <c r="J1524" s="122"/>
      <c r="K1524" s="122"/>
      <c r="L1524" s="122"/>
      <c r="M1524" s="74">
        <v>16374064</v>
      </c>
      <c r="N1524" s="75" t="s">
        <v>239</v>
      </c>
      <c r="O1524" s="75" t="s">
        <v>54</v>
      </c>
      <c r="P1524" s="134" t="str">
        <f>IF(AND('331-CT'!$E$7=TH!H1524,OR(N1524="331",O1524="331")),"x","")</f>
        <v/>
      </c>
    </row>
    <row r="1525" spans="1:16" ht="18" hidden="1" customHeight="1">
      <c r="A1525" s="72">
        <f t="shared" si="61"/>
        <v>2016</v>
      </c>
      <c r="B1525" s="72">
        <f t="shared" si="62"/>
        <v>6</v>
      </c>
      <c r="C1525" s="73">
        <v>42542</v>
      </c>
      <c r="D1525" s="73" t="s">
        <v>17</v>
      </c>
      <c r="E1525" s="73">
        <v>42542</v>
      </c>
      <c r="F1525" s="76" t="s">
        <v>1194</v>
      </c>
      <c r="G1525" s="265" t="s">
        <v>1242</v>
      </c>
      <c r="H1525" s="122" t="s">
        <v>316</v>
      </c>
      <c r="I1525" s="122"/>
      <c r="J1525" s="122"/>
      <c r="K1525" s="122"/>
      <c r="L1525" s="122"/>
      <c r="M1525" s="74">
        <v>13099251</v>
      </c>
      <c r="N1525" s="75" t="s">
        <v>239</v>
      </c>
      <c r="O1525" s="75" t="s">
        <v>54</v>
      </c>
      <c r="P1525" s="134" t="str">
        <f>IF(AND('331-CT'!$E$7=TH!H1525,OR(N1525="331",O1525="331")),"x","")</f>
        <v/>
      </c>
    </row>
    <row r="1526" spans="1:16" ht="18" hidden="1" customHeight="1">
      <c r="A1526" s="72">
        <f t="shared" si="61"/>
        <v>2016</v>
      </c>
      <c r="B1526" s="72">
        <f t="shared" si="62"/>
        <v>6</v>
      </c>
      <c r="C1526" s="73">
        <v>42542</v>
      </c>
      <c r="D1526" s="73" t="s">
        <v>17</v>
      </c>
      <c r="E1526" s="73">
        <v>42542</v>
      </c>
      <c r="F1526" s="76" t="s">
        <v>1194</v>
      </c>
      <c r="G1526" s="265" t="s">
        <v>1242</v>
      </c>
      <c r="H1526" s="122" t="s">
        <v>315</v>
      </c>
      <c r="I1526" s="122"/>
      <c r="J1526" s="122"/>
      <c r="K1526" s="122"/>
      <c r="L1526" s="122"/>
      <c r="M1526" s="74">
        <v>12280547</v>
      </c>
      <c r="N1526" s="75" t="s">
        <v>239</v>
      </c>
      <c r="O1526" s="75" t="s">
        <v>54</v>
      </c>
      <c r="P1526" s="134" t="str">
        <f>IF(AND('331-CT'!$E$7=TH!H1526,OR(N1526="331",O1526="331")),"x","")</f>
        <v/>
      </c>
    </row>
    <row r="1527" spans="1:16" ht="18" hidden="1" customHeight="1">
      <c r="A1527" s="72">
        <f t="shared" si="61"/>
        <v>2016</v>
      </c>
      <c r="B1527" s="72">
        <f t="shared" si="62"/>
        <v>6</v>
      </c>
      <c r="C1527" s="73">
        <v>42542</v>
      </c>
      <c r="D1527" s="73" t="s">
        <v>17</v>
      </c>
      <c r="E1527" s="73">
        <v>42542</v>
      </c>
      <c r="F1527" s="76" t="s">
        <v>1194</v>
      </c>
      <c r="G1527" s="265" t="s">
        <v>1242</v>
      </c>
      <c r="H1527" s="122" t="s">
        <v>317</v>
      </c>
      <c r="I1527" s="122"/>
      <c r="J1527" s="122"/>
      <c r="K1527" s="122"/>
      <c r="L1527" s="122"/>
      <c r="M1527" s="74">
        <v>8187032</v>
      </c>
      <c r="N1527" s="75" t="s">
        <v>239</v>
      </c>
      <c r="O1527" s="75" t="s">
        <v>54</v>
      </c>
      <c r="P1527" s="134" t="str">
        <f>IF(AND('331-CT'!$E$7=TH!H1527,OR(N1527="331",O1527="331")),"x","")</f>
        <v/>
      </c>
    </row>
    <row r="1528" spans="1:16" ht="18" hidden="1" customHeight="1">
      <c r="A1528" s="72">
        <f t="shared" si="61"/>
        <v>2016</v>
      </c>
      <c r="B1528" s="72">
        <f t="shared" si="62"/>
        <v>6</v>
      </c>
      <c r="C1528" s="73">
        <v>42542</v>
      </c>
      <c r="D1528" s="73" t="s">
        <v>17</v>
      </c>
      <c r="E1528" s="73">
        <v>42542</v>
      </c>
      <c r="F1528" s="76" t="s">
        <v>1194</v>
      </c>
      <c r="G1528" s="265" t="s">
        <v>1242</v>
      </c>
      <c r="H1528" s="122" t="s">
        <v>318</v>
      </c>
      <c r="I1528" s="122"/>
      <c r="J1528" s="122"/>
      <c r="K1528" s="122"/>
      <c r="L1528" s="122"/>
      <c r="M1528" s="74">
        <v>12280547</v>
      </c>
      <c r="N1528" s="75" t="s">
        <v>239</v>
      </c>
      <c r="O1528" s="75" t="s">
        <v>54</v>
      </c>
      <c r="P1528" s="134" t="str">
        <f>IF(AND('331-CT'!$E$7=TH!H1528,OR(N1528="331",O1528="331")),"x","")</f>
        <v/>
      </c>
    </row>
    <row r="1529" spans="1:16" ht="18" hidden="1" customHeight="1">
      <c r="A1529" s="72">
        <f t="shared" si="61"/>
        <v>2016</v>
      </c>
      <c r="B1529" s="72">
        <f t="shared" si="62"/>
        <v>6</v>
      </c>
      <c r="C1529" s="73">
        <v>42542</v>
      </c>
      <c r="D1529" s="73" t="s">
        <v>17</v>
      </c>
      <c r="E1529" s="73">
        <v>42542</v>
      </c>
      <c r="F1529" s="76" t="s">
        <v>1194</v>
      </c>
      <c r="G1529" s="265" t="s">
        <v>1242</v>
      </c>
      <c r="H1529" s="122" t="s">
        <v>319</v>
      </c>
      <c r="I1529" s="122"/>
      <c r="J1529" s="122"/>
      <c r="K1529" s="122"/>
      <c r="L1529" s="122"/>
      <c r="M1529" s="74">
        <v>16374064</v>
      </c>
      <c r="N1529" s="75" t="s">
        <v>239</v>
      </c>
      <c r="O1529" s="75" t="s">
        <v>54</v>
      </c>
      <c r="P1529" s="134" t="str">
        <f>IF(AND('331-CT'!$E$7=TH!H1529,OR(N1529="331",O1529="331")),"x","")</f>
        <v/>
      </c>
    </row>
    <row r="1530" spans="1:16" ht="18" hidden="1" customHeight="1">
      <c r="A1530" s="72">
        <f t="shared" si="61"/>
        <v>2016</v>
      </c>
      <c r="B1530" s="72">
        <f t="shared" si="62"/>
        <v>6</v>
      </c>
      <c r="C1530" s="73">
        <v>42542</v>
      </c>
      <c r="D1530" s="73" t="s">
        <v>17</v>
      </c>
      <c r="E1530" s="73">
        <v>42542</v>
      </c>
      <c r="F1530" s="76" t="s">
        <v>1194</v>
      </c>
      <c r="G1530" s="265" t="s">
        <v>1242</v>
      </c>
      <c r="H1530" s="122" t="s">
        <v>320</v>
      </c>
      <c r="I1530" s="122"/>
      <c r="J1530" s="122"/>
      <c r="K1530" s="122"/>
      <c r="L1530" s="122"/>
      <c r="M1530" s="74">
        <v>11461845</v>
      </c>
      <c r="N1530" s="75" t="s">
        <v>239</v>
      </c>
      <c r="O1530" s="75" t="s">
        <v>54</v>
      </c>
      <c r="P1530" s="134" t="str">
        <f>IF(AND('331-CT'!$E$7=TH!H1530,OR(N1530="331",O1530="331")),"x","")</f>
        <v/>
      </c>
    </row>
    <row r="1531" spans="1:16" ht="18" hidden="1" customHeight="1">
      <c r="A1531" s="72">
        <f t="shared" si="61"/>
        <v>2016</v>
      </c>
      <c r="B1531" s="72">
        <f t="shared" si="62"/>
        <v>6</v>
      </c>
      <c r="C1531" s="73">
        <v>42542</v>
      </c>
      <c r="D1531" s="73" t="s">
        <v>17</v>
      </c>
      <c r="E1531" s="73">
        <v>42542</v>
      </c>
      <c r="F1531" s="76" t="s">
        <v>1194</v>
      </c>
      <c r="G1531" s="265" t="s">
        <v>1242</v>
      </c>
      <c r="H1531" s="122" t="s">
        <v>321</v>
      </c>
      <c r="I1531" s="122"/>
      <c r="J1531" s="122"/>
      <c r="K1531" s="122"/>
      <c r="L1531" s="122"/>
      <c r="M1531" s="74">
        <v>12280547</v>
      </c>
      <c r="N1531" s="75" t="s">
        <v>239</v>
      </c>
      <c r="O1531" s="75" t="s">
        <v>54</v>
      </c>
      <c r="P1531" s="134" t="str">
        <f>IF(AND('331-CT'!$E$7=TH!H1531,OR(N1531="331",O1531="331")),"x","")</f>
        <v/>
      </c>
    </row>
    <row r="1532" spans="1:16" ht="18" hidden="1" customHeight="1">
      <c r="A1532" s="72">
        <f t="shared" si="61"/>
        <v>2016</v>
      </c>
      <c r="B1532" s="72">
        <f t="shared" si="62"/>
        <v>6</v>
      </c>
      <c r="C1532" s="73">
        <v>42542</v>
      </c>
      <c r="D1532" s="73" t="s">
        <v>17</v>
      </c>
      <c r="E1532" s="73">
        <v>42542</v>
      </c>
      <c r="F1532" s="76" t="s">
        <v>1194</v>
      </c>
      <c r="G1532" s="265" t="s">
        <v>1242</v>
      </c>
      <c r="H1532" s="122" t="s">
        <v>325</v>
      </c>
      <c r="I1532" s="122"/>
      <c r="J1532" s="122"/>
      <c r="K1532" s="122"/>
      <c r="L1532" s="122"/>
      <c r="M1532" s="74">
        <v>12280547</v>
      </c>
      <c r="N1532" s="75" t="s">
        <v>239</v>
      </c>
      <c r="O1532" s="75" t="s">
        <v>54</v>
      </c>
      <c r="P1532" s="134" t="str">
        <f>IF(AND('331-CT'!$E$7=TH!H1532,OR(N1532="331",O1532="331")),"x","")</f>
        <v/>
      </c>
    </row>
    <row r="1533" spans="1:16" ht="18" hidden="1" customHeight="1">
      <c r="A1533" s="72">
        <f t="shared" si="61"/>
        <v>2016</v>
      </c>
      <c r="B1533" s="72">
        <f t="shared" si="62"/>
        <v>6</v>
      </c>
      <c r="C1533" s="73">
        <v>42542</v>
      </c>
      <c r="D1533" s="73" t="s">
        <v>17</v>
      </c>
      <c r="E1533" s="73">
        <v>42542</v>
      </c>
      <c r="F1533" s="76" t="s">
        <v>1194</v>
      </c>
      <c r="G1533" s="265" t="s">
        <v>1242</v>
      </c>
      <c r="H1533" s="122" t="s">
        <v>416</v>
      </c>
      <c r="I1533" s="122"/>
      <c r="J1533" s="122"/>
      <c r="K1533" s="122"/>
      <c r="L1533" s="122"/>
      <c r="M1533" s="74">
        <v>12280547</v>
      </c>
      <c r="N1533" s="75" t="s">
        <v>239</v>
      </c>
      <c r="O1533" s="75" t="s">
        <v>54</v>
      </c>
      <c r="P1533" s="134" t="str">
        <f>IF(AND('331-CT'!$E$7=TH!H1533,OR(N1533="331",O1533="331")),"x","")</f>
        <v/>
      </c>
    </row>
    <row r="1534" spans="1:16" ht="18" hidden="1" customHeight="1">
      <c r="A1534" s="72">
        <f t="shared" si="61"/>
        <v>2016</v>
      </c>
      <c r="B1534" s="72">
        <f t="shared" si="62"/>
        <v>6</v>
      </c>
      <c r="C1534" s="73">
        <v>42542</v>
      </c>
      <c r="D1534" s="73" t="s">
        <v>17</v>
      </c>
      <c r="E1534" s="73">
        <v>42542</v>
      </c>
      <c r="F1534" s="76" t="s">
        <v>1194</v>
      </c>
      <c r="G1534" s="265" t="s">
        <v>1242</v>
      </c>
      <c r="H1534" s="122" t="s">
        <v>421</v>
      </c>
      <c r="I1534" s="122"/>
      <c r="J1534" s="122"/>
      <c r="K1534" s="122"/>
      <c r="L1534" s="122"/>
      <c r="M1534" s="74">
        <v>8187032</v>
      </c>
      <c r="N1534" s="75" t="s">
        <v>239</v>
      </c>
      <c r="O1534" s="75" t="s">
        <v>54</v>
      </c>
      <c r="P1534" s="134" t="str">
        <f>IF(AND('331-CT'!$E$7=TH!H1534,OR(N1534="331",O1534="331")),"x","")</f>
        <v/>
      </c>
    </row>
    <row r="1535" spans="1:16" ht="18" hidden="1" customHeight="1">
      <c r="A1535" s="72">
        <f t="shared" si="61"/>
        <v>2016</v>
      </c>
      <c r="B1535" s="72">
        <f t="shared" si="62"/>
        <v>6</v>
      </c>
      <c r="C1535" s="73">
        <v>42542</v>
      </c>
      <c r="D1535" s="73" t="s">
        <v>17</v>
      </c>
      <c r="E1535" s="73">
        <v>42542</v>
      </c>
      <c r="F1535" s="76" t="s">
        <v>1194</v>
      </c>
      <c r="G1535" s="265" t="s">
        <v>1242</v>
      </c>
      <c r="H1535" s="122" t="s">
        <v>455</v>
      </c>
      <c r="I1535" s="122"/>
      <c r="J1535" s="122"/>
      <c r="K1535" s="122"/>
      <c r="L1535" s="122"/>
      <c r="M1535" s="74">
        <v>8187032</v>
      </c>
      <c r="N1535" s="75" t="s">
        <v>239</v>
      </c>
      <c r="O1535" s="75" t="s">
        <v>54</v>
      </c>
      <c r="P1535" s="134" t="str">
        <f>IF(AND('331-CT'!$E$7=TH!H1535,OR(N1535="331",O1535="331")),"x","")</f>
        <v/>
      </c>
    </row>
    <row r="1536" spans="1:16" ht="18" hidden="1" customHeight="1">
      <c r="A1536" s="72">
        <f t="shared" si="61"/>
        <v>2016</v>
      </c>
      <c r="B1536" s="72">
        <f t="shared" si="62"/>
        <v>6</v>
      </c>
      <c r="C1536" s="73">
        <v>42543</v>
      </c>
      <c r="D1536" s="73" t="s">
        <v>21</v>
      </c>
      <c r="E1536" s="73">
        <v>42543</v>
      </c>
      <c r="F1536" s="76" t="s">
        <v>1418</v>
      </c>
      <c r="G1536" s="265" t="s">
        <v>1242</v>
      </c>
      <c r="H1536" s="122" t="s">
        <v>1419</v>
      </c>
      <c r="I1536" s="122"/>
      <c r="J1536" s="122"/>
      <c r="K1536" s="122">
        <v>88000</v>
      </c>
      <c r="L1536" s="122">
        <v>22290</v>
      </c>
      <c r="M1536" s="74">
        <v>1961520000</v>
      </c>
      <c r="N1536" s="75" t="s">
        <v>54</v>
      </c>
      <c r="O1536" s="75" t="s">
        <v>1237</v>
      </c>
      <c r="P1536" s="134" t="str">
        <f>IF(AND('331-CT'!$E$7=TH!H1536,OR(N1536="331",O1536="331")),"x","")</f>
        <v/>
      </c>
    </row>
    <row r="1537" spans="1:16" ht="18" hidden="1" customHeight="1">
      <c r="A1537" s="72">
        <f t="shared" si="61"/>
        <v>2016</v>
      </c>
      <c r="B1537" s="72">
        <f t="shared" si="62"/>
        <v>6</v>
      </c>
      <c r="C1537" s="73">
        <v>42543</v>
      </c>
      <c r="D1537" s="73" t="s">
        <v>17</v>
      </c>
      <c r="E1537" s="73">
        <v>42543</v>
      </c>
      <c r="F1537" s="76" t="s">
        <v>1194</v>
      </c>
      <c r="G1537" s="265" t="s">
        <v>1242</v>
      </c>
      <c r="H1537" s="122" t="s">
        <v>323</v>
      </c>
      <c r="I1537" s="122"/>
      <c r="J1537" s="122"/>
      <c r="K1537" s="122"/>
      <c r="L1537" s="122"/>
      <c r="M1537" s="74">
        <v>12280547</v>
      </c>
      <c r="N1537" s="75" t="s">
        <v>239</v>
      </c>
      <c r="O1537" s="75" t="s">
        <v>54</v>
      </c>
      <c r="P1537" s="134" t="str">
        <f>IF(AND('331-CT'!$E$7=TH!H1537,OR(N1537="331",O1537="331")),"x","")</f>
        <v/>
      </c>
    </row>
    <row r="1538" spans="1:16" ht="18" hidden="1" customHeight="1">
      <c r="A1538" s="72">
        <f t="shared" si="61"/>
        <v>2016</v>
      </c>
      <c r="B1538" s="72">
        <f t="shared" si="62"/>
        <v>6</v>
      </c>
      <c r="C1538" s="73">
        <v>42543</v>
      </c>
      <c r="D1538" s="73" t="s">
        <v>17</v>
      </c>
      <c r="E1538" s="73">
        <v>42543</v>
      </c>
      <c r="F1538" s="76" t="s">
        <v>1448</v>
      </c>
      <c r="G1538" s="265" t="s">
        <v>1242</v>
      </c>
      <c r="H1538" s="122" t="s">
        <v>1200</v>
      </c>
      <c r="I1538" s="122"/>
      <c r="J1538" s="122"/>
      <c r="K1538" s="122"/>
      <c r="L1538" s="122"/>
      <c r="M1538" s="74">
        <v>8000000</v>
      </c>
      <c r="N1538" s="75" t="s">
        <v>39</v>
      </c>
      <c r="O1538" s="75" t="s">
        <v>54</v>
      </c>
      <c r="P1538" s="134" t="str">
        <f>IF(AND('331-CT'!$E$7=TH!H1538,OR(N1538="331",O1538="331")),"x","")</f>
        <v/>
      </c>
    </row>
    <row r="1539" spans="1:16" ht="18" hidden="1" customHeight="1">
      <c r="A1539" s="72">
        <f t="shared" si="61"/>
        <v>2016</v>
      </c>
      <c r="B1539" s="72">
        <f t="shared" si="62"/>
        <v>6</v>
      </c>
      <c r="C1539" s="73">
        <v>42543</v>
      </c>
      <c r="D1539" s="73" t="s">
        <v>17</v>
      </c>
      <c r="E1539" s="73">
        <v>42543</v>
      </c>
      <c r="F1539" s="76" t="s">
        <v>1448</v>
      </c>
      <c r="G1539" s="265" t="s">
        <v>1242</v>
      </c>
      <c r="H1539" s="122" t="s">
        <v>1200</v>
      </c>
      <c r="I1539" s="122"/>
      <c r="J1539" s="122"/>
      <c r="K1539" s="122"/>
      <c r="L1539" s="122"/>
      <c r="M1539" s="74">
        <v>7000000</v>
      </c>
      <c r="N1539" s="75" t="s">
        <v>39</v>
      </c>
      <c r="O1539" s="75" t="s">
        <v>54</v>
      </c>
      <c r="P1539" s="134" t="str">
        <f>IF(AND('331-CT'!$E$7=TH!H1539,OR(N1539="331",O1539="331")),"x","")</f>
        <v/>
      </c>
    </row>
    <row r="1540" spans="1:16" ht="18" hidden="1" customHeight="1">
      <c r="A1540" s="72">
        <f t="shared" si="61"/>
        <v>2016</v>
      </c>
      <c r="B1540" s="72">
        <f t="shared" si="62"/>
        <v>6</v>
      </c>
      <c r="C1540" s="73">
        <v>42543</v>
      </c>
      <c r="D1540" s="73" t="s">
        <v>17</v>
      </c>
      <c r="E1540" s="73">
        <v>42543</v>
      </c>
      <c r="F1540" s="76" t="s">
        <v>23</v>
      </c>
      <c r="G1540" s="265" t="s">
        <v>1242</v>
      </c>
      <c r="H1540" s="122"/>
      <c r="I1540" s="122"/>
      <c r="J1540" s="122"/>
      <c r="K1540" s="122"/>
      <c r="L1540" s="122"/>
      <c r="M1540" s="74">
        <v>20000</v>
      </c>
      <c r="N1540" s="75" t="s">
        <v>241</v>
      </c>
      <c r="O1540" s="75" t="s">
        <v>54</v>
      </c>
      <c r="P1540" s="134" t="str">
        <f>IF(AND('331-CT'!$E$7=TH!H1540,OR(N1540="331",O1540="331")),"x","")</f>
        <v/>
      </c>
    </row>
    <row r="1541" spans="1:16" ht="18" hidden="1" customHeight="1">
      <c r="A1541" s="72">
        <f t="shared" si="61"/>
        <v>2016</v>
      </c>
      <c r="B1541" s="72">
        <f t="shared" si="62"/>
        <v>6</v>
      </c>
      <c r="C1541" s="73">
        <v>42543</v>
      </c>
      <c r="D1541" s="73" t="s">
        <v>17</v>
      </c>
      <c r="E1541" s="73">
        <v>42543</v>
      </c>
      <c r="F1541" s="76" t="s">
        <v>24</v>
      </c>
      <c r="G1541" s="265" t="s">
        <v>1242</v>
      </c>
      <c r="H1541" s="122"/>
      <c r="I1541" s="122"/>
      <c r="J1541" s="122"/>
      <c r="K1541" s="122"/>
      <c r="L1541" s="122"/>
      <c r="M1541" s="74">
        <v>2000</v>
      </c>
      <c r="N1541" s="75" t="s">
        <v>19</v>
      </c>
      <c r="O1541" s="75" t="s">
        <v>54</v>
      </c>
      <c r="P1541" s="134" t="str">
        <f>IF(AND('331-CT'!$E$7=TH!H1541,OR(N1541="331",O1541="331")),"x","")</f>
        <v/>
      </c>
    </row>
    <row r="1542" spans="1:16" ht="18" hidden="1" customHeight="1">
      <c r="A1542" s="72">
        <f t="shared" si="61"/>
        <v>2016</v>
      </c>
      <c r="B1542" s="72">
        <f t="shared" si="62"/>
        <v>6</v>
      </c>
      <c r="C1542" s="73">
        <v>42544</v>
      </c>
      <c r="D1542" s="73" t="s">
        <v>22</v>
      </c>
      <c r="E1542" s="73">
        <v>42544</v>
      </c>
      <c r="F1542" s="76" t="s">
        <v>1193</v>
      </c>
      <c r="G1542" s="265" t="s">
        <v>1242</v>
      </c>
      <c r="H1542" s="122" t="s">
        <v>271</v>
      </c>
      <c r="I1542" s="122"/>
      <c r="J1542" s="122"/>
      <c r="K1542" s="122"/>
      <c r="L1542" s="122"/>
      <c r="M1542" s="74">
        <v>1960000000</v>
      </c>
      <c r="N1542" s="75" t="s">
        <v>203</v>
      </c>
      <c r="O1542" s="75" t="s">
        <v>54</v>
      </c>
      <c r="P1542" s="134" t="str">
        <f>IF(AND('331-CT'!$E$7=TH!H1542,OR(N1542="331",O1542="331")),"x","")</f>
        <v/>
      </c>
    </row>
    <row r="1543" spans="1:16" ht="18" hidden="1" customHeight="1">
      <c r="A1543" s="72">
        <f t="shared" si="61"/>
        <v>2016</v>
      </c>
      <c r="B1543" s="72">
        <f t="shared" si="62"/>
        <v>6</v>
      </c>
      <c r="C1543" s="73">
        <v>42544</v>
      </c>
      <c r="D1543" s="73" t="s">
        <v>779</v>
      </c>
      <c r="E1543" s="73">
        <v>42544</v>
      </c>
      <c r="F1543" s="76" t="s">
        <v>1420</v>
      </c>
      <c r="G1543" s="265" t="s">
        <v>1242</v>
      </c>
      <c r="H1543" s="122" t="s">
        <v>1200</v>
      </c>
      <c r="I1543" s="122"/>
      <c r="J1543" s="122"/>
      <c r="K1543" s="122"/>
      <c r="L1543" s="122"/>
      <c r="M1543" s="74">
        <v>1960000000</v>
      </c>
      <c r="N1543" s="75" t="s">
        <v>39</v>
      </c>
      <c r="O1543" s="75" t="s">
        <v>203</v>
      </c>
      <c r="P1543" s="134" t="str">
        <f>IF(AND('331-CT'!$E$7=TH!H1543,OR(N1543="331",O1543="331")),"x","")</f>
        <v/>
      </c>
    </row>
    <row r="1544" spans="1:16" ht="18" hidden="1" customHeight="1">
      <c r="A1544" s="72">
        <f t="shared" si="61"/>
        <v>2016</v>
      </c>
      <c r="B1544" s="72">
        <f t="shared" si="62"/>
        <v>6</v>
      </c>
      <c r="C1544" s="73">
        <v>42544</v>
      </c>
      <c r="D1544" s="73" t="s">
        <v>784</v>
      </c>
      <c r="E1544" s="73">
        <v>42544</v>
      </c>
      <c r="F1544" s="76" t="s">
        <v>1449</v>
      </c>
      <c r="G1544" s="265" t="s">
        <v>1450</v>
      </c>
      <c r="H1544" s="122" t="s">
        <v>828</v>
      </c>
      <c r="I1544" s="122"/>
      <c r="J1544" s="122"/>
      <c r="K1544" s="122"/>
      <c r="L1544" s="122"/>
      <c r="M1544" s="74">
        <v>419000</v>
      </c>
      <c r="N1544" s="75" t="s">
        <v>241</v>
      </c>
      <c r="O1544" s="75" t="s">
        <v>203</v>
      </c>
      <c r="P1544" s="134" t="str">
        <f>IF(AND('331-CT'!$E$7=TH!H1544,OR(N1544="331",O1544="331")),"x","")</f>
        <v/>
      </c>
    </row>
    <row r="1545" spans="1:16" ht="18" hidden="1" customHeight="1">
      <c r="A1545" s="72">
        <f t="shared" si="61"/>
        <v>2016</v>
      </c>
      <c r="B1545" s="72">
        <f t="shared" si="62"/>
        <v>6</v>
      </c>
      <c r="C1545" s="73">
        <v>42545</v>
      </c>
      <c r="D1545" s="73" t="s">
        <v>792</v>
      </c>
      <c r="E1545" s="73">
        <v>42545</v>
      </c>
      <c r="F1545" s="76" t="s">
        <v>1451</v>
      </c>
      <c r="G1545" s="265" t="s">
        <v>1452</v>
      </c>
      <c r="H1545" s="122" t="s">
        <v>828</v>
      </c>
      <c r="I1545" s="122"/>
      <c r="J1545" s="122"/>
      <c r="K1545" s="122"/>
      <c r="L1545" s="122"/>
      <c r="M1545" s="74">
        <v>1235000</v>
      </c>
      <c r="N1545" s="75" t="s">
        <v>241</v>
      </c>
      <c r="O1545" s="75" t="s">
        <v>203</v>
      </c>
      <c r="P1545" s="134" t="str">
        <f>IF(AND('331-CT'!$E$7=TH!H1545,OR(N1545="331",O1545="331")),"x","")</f>
        <v/>
      </c>
    </row>
    <row r="1546" spans="1:16" ht="18" hidden="1" customHeight="1">
      <c r="A1546" s="72">
        <f t="shared" si="61"/>
        <v>2016</v>
      </c>
      <c r="B1546" s="72">
        <f t="shared" si="62"/>
        <v>6</v>
      </c>
      <c r="C1546" s="73">
        <v>42545</v>
      </c>
      <c r="D1546" s="73" t="s">
        <v>796</v>
      </c>
      <c r="E1546" s="73">
        <v>42545</v>
      </c>
      <c r="F1546" s="76" t="s">
        <v>1453</v>
      </c>
      <c r="G1546" s="265" t="s">
        <v>1454</v>
      </c>
      <c r="H1546" s="122" t="s">
        <v>846</v>
      </c>
      <c r="I1546" s="122"/>
      <c r="J1546" s="122"/>
      <c r="K1546" s="122"/>
      <c r="L1546" s="122"/>
      <c r="M1546" s="74">
        <v>550000</v>
      </c>
      <c r="N1546" s="75" t="s">
        <v>241</v>
      </c>
      <c r="O1546" s="75" t="s">
        <v>203</v>
      </c>
      <c r="P1546" s="134" t="str">
        <f>IF(AND('331-CT'!$E$7=TH!H1546,OR(N1546="331",O1546="331")),"x","")</f>
        <v/>
      </c>
    </row>
    <row r="1547" spans="1:16" ht="18" hidden="1" customHeight="1">
      <c r="A1547" s="72">
        <f t="shared" si="61"/>
        <v>2016</v>
      </c>
      <c r="B1547" s="72">
        <f t="shared" si="62"/>
        <v>6</v>
      </c>
      <c r="C1547" s="73">
        <v>42545</v>
      </c>
      <c r="D1547" s="73" t="s">
        <v>78</v>
      </c>
      <c r="E1547" s="73">
        <v>42545</v>
      </c>
      <c r="F1547" s="76" t="s">
        <v>1387</v>
      </c>
      <c r="G1547" s="265" t="s">
        <v>870</v>
      </c>
      <c r="H1547" s="122" t="s">
        <v>1389</v>
      </c>
      <c r="I1547" s="122"/>
      <c r="J1547" s="122"/>
      <c r="K1547" s="122"/>
      <c r="L1547" s="122"/>
      <c r="M1547" s="74">
        <v>10681818</v>
      </c>
      <c r="N1547" s="75" t="s">
        <v>241</v>
      </c>
      <c r="O1547" s="75" t="s">
        <v>18</v>
      </c>
      <c r="P1547" s="134" t="str">
        <f>IF(AND('331-CT'!$E$7=TH!H1547,OR(N1547="331",O1547="331")),"x","")</f>
        <v/>
      </c>
    </row>
    <row r="1548" spans="1:16" ht="18" hidden="1" customHeight="1">
      <c r="A1548" s="72">
        <f t="shared" si="61"/>
        <v>2016</v>
      </c>
      <c r="B1548" s="72">
        <f t="shared" si="62"/>
        <v>6</v>
      </c>
      <c r="C1548" s="73">
        <v>42545</v>
      </c>
      <c r="D1548" s="73" t="s">
        <v>78</v>
      </c>
      <c r="E1548" s="73">
        <v>42545</v>
      </c>
      <c r="F1548" s="76" t="s">
        <v>1390</v>
      </c>
      <c r="G1548" s="265" t="s">
        <v>870</v>
      </c>
      <c r="H1548" s="122" t="s">
        <v>1389</v>
      </c>
      <c r="I1548" s="122"/>
      <c r="J1548" s="122"/>
      <c r="K1548" s="122"/>
      <c r="L1548" s="122"/>
      <c r="M1548" s="74">
        <v>1068182</v>
      </c>
      <c r="N1548" s="75" t="s">
        <v>19</v>
      </c>
      <c r="O1548" s="75" t="s">
        <v>18</v>
      </c>
      <c r="P1548" s="134" t="str">
        <f>IF(AND('331-CT'!$E$7=TH!H1548,OR(N1548="331",O1548="331")),"x","")</f>
        <v/>
      </c>
    </row>
    <row r="1549" spans="1:16" ht="18" hidden="1" customHeight="1">
      <c r="A1549" s="72">
        <f t="shared" si="61"/>
        <v>2016</v>
      </c>
      <c r="B1549" s="72">
        <f t="shared" si="62"/>
        <v>6</v>
      </c>
      <c r="C1549" s="73">
        <v>42545</v>
      </c>
      <c r="D1549" s="73" t="s">
        <v>21</v>
      </c>
      <c r="E1549" s="73">
        <v>42545</v>
      </c>
      <c r="F1549" s="76" t="s">
        <v>1293</v>
      </c>
      <c r="G1549" s="265" t="s">
        <v>1242</v>
      </c>
      <c r="H1549" s="122"/>
      <c r="I1549" s="122"/>
      <c r="J1549" s="122"/>
      <c r="K1549" s="122"/>
      <c r="L1549" s="122"/>
      <c r="M1549" s="74">
        <v>17669</v>
      </c>
      <c r="N1549" s="75" t="s">
        <v>54</v>
      </c>
      <c r="O1549" s="75" t="s">
        <v>99</v>
      </c>
      <c r="P1549" s="134" t="str">
        <f>IF(AND('331-CT'!$E$7=TH!H1549,OR(N1549="331",O1549="331")),"x","")</f>
        <v/>
      </c>
    </row>
    <row r="1550" spans="1:16" ht="18" hidden="1" customHeight="1">
      <c r="A1550" s="72">
        <f t="shared" si="61"/>
        <v>2016</v>
      </c>
      <c r="B1550" s="72">
        <f t="shared" si="62"/>
        <v>6</v>
      </c>
      <c r="C1550" s="73">
        <v>42545</v>
      </c>
      <c r="D1550" s="73" t="s">
        <v>1054</v>
      </c>
      <c r="E1550" s="73">
        <v>42545</v>
      </c>
      <c r="F1550" s="76" t="s">
        <v>1455</v>
      </c>
      <c r="G1550" s="265" t="s">
        <v>1242</v>
      </c>
      <c r="H1550" s="122" t="s">
        <v>271</v>
      </c>
      <c r="I1550" s="122"/>
      <c r="J1550" s="122"/>
      <c r="K1550" s="122"/>
      <c r="L1550" s="122"/>
      <c r="M1550" s="74">
        <v>2000000</v>
      </c>
      <c r="N1550" s="75" t="s">
        <v>203</v>
      </c>
      <c r="O1550" s="75" t="s">
        <v>54</v>
      </c>
      <c r="P1550" s="134" t="str">
        <f>IF(AND('331-CT'!$E$7=TH!H1550,OR(N1550="331",O1550="331")),"x","")</f>
        <v/>
      </c>
    </row>
    <row r="1551" spans="1:16" ht="18" hidden="1" customHeight="1">
      <c r="A1551" s="72">
        <f t="shared" si="61"/>
        <v>2016</v>
      </c>
      <c r="B1551" s="72">
        <f t="shared" si="62"/>
        <v>6</v>
      </c>
      <c r="C1551" s="73">
        <v>42546</v>
      </c>
      <c r="D1551" s="73" t="s">
        <v>78</v>
      </c>
      <c r="E1551" s="73">
        <v>42546</v>
      </c>
      <c r="F1551" s="76" t="s">
        <v>1456</v>
      </c>
      <c r="G1551" s="265" t="s">
        <v>1457</v>
      </c>
      <c r="H1551" s="122" t="s">
        <v>648</v>
      </c>
      <c r="I1551" s="122"/>
      <c r="J1551" s="122"/>
      <c r="K1551" s="122"/>
      <c r="L1551" s="122"/>
      <c r="M1551" s="74">
        <v>23344500</v>
      </c>
      <c r="N1551" s="75" t="s">
        <v>241</v>
      </c>
      <c r="O1551" s="75" t="s">
        <v>18</v>
      </c>
      <c r="P1551" s="134" t="str">
        <f>IF(AND('331-CT'!$E$7=TH!H1551,OR(N1551="331",O1551="331")),"x","")</f>
        <v/>
      </c>
    </row>
    <row r="1552" spans="1:16" ht="18" hidden="1" customHeight="1">
      <c r="A1552" s="72">
        <f t="shared" si="61"/>
        <v>2016</v>
      </c>
      <c r="B1552" s="72">
        <f t="shared" si="62"/>
        <v>6</v>
      </c>
      <c r="C1552" s="73">
        <v>42546</v>
      </c>
      <c r="D1552" s="73" t="s">
        <v>78</v>
      </c>
      <c r="E1552" s="73">
        <v>42546</v>
      </c>
      <c r="F1552" s="76" t="s">
        <v>1458</v>
      </c>
      <c r="G1552" s="265" t="s">
        <v>1457</v>
      </c>
      <c r="H1552" s="122" t="s">
        <v>648</v>
      </c>
      <c r="I1552" s="122"/>
      <c r="J1552" s="122"/>
      <c r="K1552" s="122"/>
      <c r="L1552" s="122"/>
      <c r="M1552" s="74">
        <v>2334450</v>
      </c>
      <c r="N1552" s="75" t="s">
        <v>19</v>
      </c>
      <c r="O1552" s="75" t="s">
        <v>18</v>
      </c>
      <c r="P1552" s="134" t="str">
        <f>IF(AND('331-CT'!$E$7=TH!H1552,OR(N1552="331",O1552="331")),"x","")</f>
        <v/>
      </c>
    </row>
    <row r="1553" spans="1:16" ht="18" hidden="1" customHeight="1">
      <c r="A1553" s="72">
        <f t="shared" si="61"/>
        <v>2016</v>
      </c>
      <c r="B1553" s="72">
        <f t="shared" si="62"/>
        <v>6</v>
      </c>
      <c r="C1553" s="73">
        <v>42546</v>
      </c>
      <c r="D1553" s="73" t="s">
        <v>17</v>
      </c>
      <c r="E1553" s="73">
        <v>42546</v>
      </c>
      <c r="F1553" s="76" t="s">
        <v>1290</v>
      </c>
      <c r="G1553" s="265" t="s">
        <v>1242</v>
      </c>
      <c r="H1553" s="122"/>
      <c r="I1553" s="122"/>
      <c r="J1553" s="122"/>
      <c r="K1553" s="122"/>
      <c r="L1553" s="122"/>
      <c r="M1553" s="74">
        <v>50000</v>
      </c>
      <c r="N1553" s="75" t="s">
        <v>241</v>
      </c>
      <c r="O1553" s="75" t="s">
        <v>54</v>
      </c>
      <c r="P1553" s="134" t="str">
        <f>IF(AND('331-CT'!$E$7=TH!H1553,OR(N1553="331",O1553="331")),"x","")</f>
        <v/>
      </c>
    </row>
    <row r="1554" spans="1:16" ht="18" hidden="1" customHeight="1">
      <c r="A1554" s="72">
        <f t="shared" si="61"/>
        <v>2016</v>
      </c>
      <c r="B1554" s="72">
        <f t="shared" si="62"/>
        <v>6</v>
      </c>
      <c r="C1554" s="73">
        <v>42546</v>
      </c>
      <c r="D1554" s="73" t="s">
        <v>17</v>
      </c>
      <c r="E1554" s="73">
        <v>42546</v>
      </c>
      <c r="F1554" s="76" t="s">
        <v>1291</v>
      </c>
      <c r="G1554" s="265" t="s">
        <v>1242</v>
      </c>
      <c r="H1554" s="122"/>
      <c r="I1554" s="122"/>
      <c r="J1554" s="122"/>
      <c r="K1554" s="122"/>
      <c r="L1554" s="122"/>
      <c r="M1554" s="74">
        <v>5000</v>
      </c>
      <c r="N1554" s="75" t="s">
        <v>19</v>
      </c>
      <c r="O1554" s="75" t="s">
        <v>54</v>
      </c>
      <c r="P1554" s="134" t="str">
        <f>IF(AND('331-CT'!$E$7=TH!H1554,OR(N1554="331",O1554="331")),"x","")</f>
        <v/>
      </c>
    </row>
    <row r="1555" spans="1:16" ht="18" hidden="1" customHeight="1">
      <c r="A1555" s="72">
        <f t="shared" si="61"/>
        <v>2016</v>
      </c>
      <c r="B1555" s="72">
        <f t="shared" si="62"/>
        <v>6</v>
      </c>
      <c r="C1555" s="73">
        <v>42546</v>
      </c>
      <c r="D1555" s="73" t="s">
        <v>17</v>
      </c>
      <c r="E1555" s="73">
        <v>42546</v>
      </c>
      <c r="F1555" s="76" t="s">
        <v>1292</v>
      </c>
      <c r="G1555" s="265" t="s">
        <v>1242</v>
      </c>
      <c r="H1555" s="122"/>
      <c r="I1555" s="122"/>
      <c r="J1555" s="122"/>
      <c r="K1555" s="122"/>
      <c r="L1555" s="122"/>
      <c r="M1555" s="74">
        <v>50000</v>
      </c>
      <c r="N1555" s="75" t="s">
        <v>241</v>
      </c>
      <c r="O1555" s="75" t="s">
        <v>54</v>
      </c>
      <c r="P1555" s="134" t="str">
        <f>IF(AND('331-CT'!$E$7=TH!H1555,OR(N1555="331",O1555="331")),"x","")</f>
        <v/>
      </c>
    </row>
    <row r="1556" spans="1:16" ht="18" hidden="1" customHeight="1">
      <c r="A1556" s="72">
        <f t="shared" si="61"/>
        <v>2016</v>
      </c>
      <c r="B1556" s="72">
        <f t="shared" si="62"/>
        <v>6</v>
      </c>
      <c r="C1556" s="73">
        <v>42546</v>
      </c>
      <c r="D1556" s="73" t="s">
        <v>17</v>
      </c>
      <c r="E1556" s="73">
        <v>42546</v>
      </c>
      <c r="F1556" s="76" t="s">
        <v>1291</v>
      </c>
      <c r="G1556" s="265" t="s">
        <v>1242</v>
      </c>
      <c r="H1556" s="122"/>
      <c r="I1556" s="122"/>
      <c r="J1556" s="122"/>
      <c r="K1556" s="122"/>
      <c r="L1556" s="122"/>
      <c r="M1556" s="74">
        <v>5000</v>
      </c>
      <c r="N1556" s="75" t="s">
        <v>19</v>
      </c>
      <c r="O1556" s="75" t="s">
        <v>54</v>
      </c>
      <c r="P1556" s="134" t="str">
        <f>IF(AND('331-CT'!$E$7=TH!H1556,OR(N1556="331",O1556="331")),"x","")</f>
        <v/>
      </c>
    </row>
    <row r="1557" spans="1:16" ht="18" hidden="1" customHeight="1">
      <c r="A1557" s="72">
        <f t="shared" si="61"/>
        <v>2016</v>
      </c>
      <c r="B1557" s="72">
        <f t="shared" si="62"/>
        <v>7</v>
      </c>
      <c r="C1557" s="73">
        <v>42552</v>
      </c>
      <c r="D1557" s="73"/>
      <c r="E1557" s="73">
        <v>42546</v>
      </c>
      <c r="F1557" s="76" t="s">
        <v>1459</v>
      </c>
      <c r="G1557" s="265" t="s">
        <v>1460</v>
      </c>
      <c r="H1557" s="122" t="s">
        <v>188</v>
      </c>
      <c r="I1557" s="122"/>
      <c r="J1557" s="122"/>
      <c r="K1557" s="122"/>
      <c r="L1557" s="122"/>
      <c r="M1557" s="74">
        <v>10471000</v>
      </c>
      <c r="N1557" s="75" t="s">
        <v>241</v>
      </c>
      <c r="O1557" s="75" t="s">
        <v>203</v>
      </c>
      <c r="P1557" s="134" t="str">
        <f>IF(AND('331-CT'!$E$7=TH!H1557,OR(N1557="331",O1557="331")),"x","")</f>
        <v/>
      </c>
    </row>
    <row r="1558" spans="1:16" ht="18" hidden="1" customHeight="1">
      <c r="A1558" s="72">
        <f t="shared" si="61"/>
        <v>2016</v>
      </c>
      <c r="B1558" s="72">
        <f t="shared" si="62"/>
        <v>7</v>
      </c>
      <c r="C1558" s="73">
        <v>42552</v>
      </c>
      <c r="D1558" s="73"/>
      <c r="E1558" s="73">
        <v>42546</v>
      </c>
      <c r="F1558" s="76" t="s">
        <v>1461</v>
      </c>
      <c r="G1558" s="265" t="s">
        <v>1460</v>
      </c>
      <c r="H1558" s="122" t="s">
        <v>188</v>
      </c>
      <c r="I1558" s="122"/>
      <c r="J1558" s="122"/>
      <c r="K1558" s="122"/>
      <c r="L1558" s="122"/>
      <c r="M1558" s="74">
        <v>523550</v>
      </c>
      <c r="N1558" s="75" t="s">
        <v>19</v>
      </c>
      <c r="O1558" s="75" t="s">
        <v>203</v>
      </c>
      <c r="P1558" s="134" t="str">
        <f>IF(AND('331-CT'!$E$7=TH!H1558,OR(N1558="331",O1558="331")),"x","")</f>
        <v/>
      </c>
    </row>
    <row r="1559" spans="1:16" ht="18" hidden="1" customHeight="1">
      <c r="A1559" s="72">
        <f t="shared" si="61"/>
        <v>2016</v>
      </c>
      <c r="B1559" s="72">
        <f t="shared" si="62"/>
        <v>6</v>
      </c>
      <c r="C1559" s="73">
        <v>42549</v>
      </c>
      <c r="D1559" s="73" t="s">
        <v>21</v>
      </c>
      <c r="E1559" s="73">
        <v>42549</v>
      </c>
      <c r="F1559" s="76" t="s">
        <v>1266</v>
      </c>
      <c r="G1559" s="265" t="s">
        <v>1242</v>
      </c>
      <c r="H1559" s="122" t="s">
        <v>1200</v>
      </c>
      <c r="I1559" s="122"/>
      <c r="J1559" s="122"/>
      <c r="K1559" s="122"/>
      <c r="L1559" s="122"/>
      <c r="M1559" s="74">
        <v>31000000</v>
      </c>
      <c r="N1559" s="75" t="s">
        <v>54</v>
      </c>
      <c r="O1559" s="75" t="s">
        <v>39</v>
      </c>
      <c r="P1559" s="134" t="str">
        <f>IF(AND('331-CT'!$E$7=TH!H1559,OR(N1559="331",O1559="331")),"x","")</f>
        <v/>
      </c>
    </row>
    <row r="1560" spans="1:16" ht="18" hidden="1" customHeight="1">
      <c r="A1560" s="72">
        <f t="shared" si="61"/>
        <v>2016</v>
      </c>
      <c r="B1560" s="72">
        <f t="shared" si="62"/>
        <v>6</v>
      </c>
      <c r="C1560" s="73">
        <v>42549</v>
      </c>
      <c r="D1560" s="73" t="s">
        <v>801</v>
      </c>
      <c r="E1560" s="73">
        <v>42549</v>
      </c>
      <c r="F1560" s="76" t="s">
        <v>1462</v>
      </c>
      <c r="G1560" s="265" t="s">
        <v>1242</v>
      </c>
      <c r="H1560" s="122" t="s">
        <v>1200</v>
      </c>
      <c r="I1560" s="122"/>
      <c r="J1560" s="122"/>
      <c r="K1560" s="122"/>
      <c r="L1560" s="122"/>
      <c r="M1560" s="74">
        <v>31000000</v>
      </c>
      <c r="N1560" s="75" t="s">
        <v>39</v>
      </c>
      <c r="O1560" s="75" t="s">
        <v>203</v>
      </c>
      <c r="P1560" s="134" t="str">
        <f>IF(AND('331-CT'!$E$7=TH!H1560,OR(N1560="331",O1560="331")),"x","")</f>
        <v/>
      </c>
    </row>
    <row r="1561" spans="1:16" ht="18" hidden="1" customHeight="1">
      <c r="A1561" s="72">
        <f t="shared" si="61"/>
        <v>2016</v>
      </c>
      <c r="B1561" s="72">
        <f t="shared" si="62"/>
        <v>6</v>
      </c>
      <c r="C1561" s="73">
        <v>42549</v>
      </c>
      <c r="D1561" s="73" t="s">
        <v>17</v>
      </c>
      <c r="E1561" s="73">
        <v>42549</v>
      </c>
      <c r="F1561" s="76" t="s">
        <v>1463</v>
      </c>
      <c r="G1561" s="265" t="s">
        <v>1242</v>
      </c>
      <c r="H1561" s="122" t="s">
        <v>83</v>
      </c>
      <c r="I1561" s="122"/>
      <c r="J1561" s="122"/>
      <c r="K1561" s="122"/>
      <c r="L1561" s="122"/>
      <c r="M1561" s="74">
        <v>30360000</v>
      </c>
      <c r="N1561" s="75" t="s">
        <v>18</v>
      </c>
      <c r="O1561" s="75" t="s">
        <v>54</v>
      </c>
      <c r="P1561" s="134" t="str">
        <f>IF(AND('331-CT'!$E$7=TH!H1561,OR(N1561="331",O1561="331")),"x","")</f>
        <v/>
      </c>
    </row>
    <row r="1562" spans="1:16" ht="18" hidden="1" customHeight="1">
      <c r="A1562" s="72">
        <f t="shared" si="61"/>
        <v>2016</v>
      </c>
      <c r="B1562" s="72">
        <f t="shared" si="62"/>
        <v>6</v>
      </c>
      <c r="C1562" s="73">
        <v>42549</v>
      </c>
      <c r="D1562" s="73" t="s">
        <v>17</v>
      </c>
      <c r="E1562" s="73">
        <v>42549</v>
      </c>
      <c r="F1562" s="76" t="s">
        <v>34</v>
      </c>
      <c r="G1562" s="265" t="s">
        <v>1242</v>
      </c>
      <c r="H1562" s="122"/>
      <c r="I1562" s="122"/>
      <c r="J1562" s="122"/>
      <c r="K1562" s="122"/>
      <c r="L1562" s="122"/>
      <c r="M1562" s="74">
        <v>25000</v>
      </c>
      <c r="N1562" s="75" t="s">
        <v>241</v>
      </c>
      <c r="O1562" s="75" t="s">
        <v>54</v>
      </c>
      <c r="P1562" s="134" t="str">
        <f>IF(AND('331-CT'!$E$7=TH!H1562,OR(N1562="331",O1562="331")),"x","")</f>
        <v/>
      </c>
    </row>
    <row r="1563" spans="1:16" ht="18" hidden="1" customHeight="1">
      <c r="A1563" s="72">
        <f t="shared" si="61"/>
        <v>2016</v>
      </c>
      <c r="B1563" s="72">
        <f t="shared" si="62"/>
        <v>6</v>
      </c>
      <c r="C1563" s="73">
        <v>42549</v>
      </c>
      <c r="D1563" s="73" t="s">
        <v>17</v>
      </c>
      <c r="E1563" s="73">
        <v>42549</v>
      </c>
      <c r="F1563" s="76" t="s">
        <v>35</v>
      </c>
      <c r="G1563" s="265" t="s">
        <v>1242</v>
      </c>
      <c r="H1563" s="122"/>
      <c r="I1563" s="122"/>
      <c r="J1563" s="122"/>
      <c r="K1563" s="122"/>
      <c r="L1563" s="122"/>
      <c r="M1563" s="74">
        <v>2500</v>
      </c>
      <c r="N1563" s="75" t="s">
        <v>19</v>
      </c>
      <c r="O1563" s="75" t="s">
        <v>54</v>
      </c>
      <c r="P1563" s="134" t="str">
        <f>IF(AND('331-CT'!$E$7=TH!H1563,OR(N1563="331",O1563="331")),"x","")</f>
        <v/>
      </c>
    </row>
    <row r="1564" spans="1:16" ht="18" hidden="1" customHeight="1">
      <c r="A1564" s="72">
        <f t="shared" si="61"/>
        <v>2016</v>
      </c>
      <c r="B1564" s="72">
        <f t="shared" si="62"/>
        <v>6</v>
      </c>
      <c r="C1564" s="73">
        <v>42551</v>
      </c>
      <c r="D1564" s="73" t="s">
        <v>78</v>
      </c>
      <c r="E1564" s="73">
        <v>42515</v>
      </c>
      <c r="F1564" s="76" t="s">
        <v>739</v>
      </c>
      <c r="G1564" s="265" t="s">
        <v>1421</v>
      </c>
      <c r="H1564" s="122" t="s">
        <v>741</v>
      </c>
      <c r="I1564" s="122"/>
      <c r="J1564" s="122"/>
      <c r="K1564" s="122"/>
      <c r="L1564" s="122"/>
      <c r="M1564" s="74">
        <v>7403520</v>
      </c>
      <c r="N1564" s="75" t="s">
        <v>241</v>
      </c>
      <c r="O1564" s="75" t="s">
        <v>18</v>
      </c>
      <c r="P1564" s="134" t="str">
        <f>IF(AND('331-CT'!$E$7=TH!H1564,OR(N1564="331",O1564="331")),"x","")</f>
        <v/>
      </c>
    </row>
    <row r="1565" spans="1:16" ht="18" hidden="1" customHeight="1">
      <c r="A1565" s="72">
        <f t="shared" si="61"/>
        <v>2016</v>
      </c>
      <c r="B1565" s="72">
        <f t="shared" si="62"/>
        <v>6</v>
      </c>
      <c r="C1565" s="73">
        <v>42551</v>
      </c>
      <c r="D1565" s="73" t="s">
        <v>78</v>
      </c>
      <c r="E1565" s="73">
        <v>42515</v>
      </c>
      <c r="F1565" s="76" t="s">
        <v>742</v>
      </c>
      <c r="G1565" s="265" t="s">
        <v>1421</v>
      </c>
      <c r="H1565" s="122" t="s">
        <v>741</v>
      </c>
      <c r="I1565" s="122"/>
      <c r="J1565" s="122"/>
      <c r="K1565" s="122"/>
      <c r="L1565" s="122"/>
      <c r="M1565" s="74">
        <v>740352</v>
      </c>
      <c r="N1565" s="75" t="s">
        <v>19</v>
      </c>
      <c r="O1565" s="75" t="s">
        <v>18</v>
      </c>
      <c r="P1565" s="134" t="str">
        <f>IF(AND('331-CT'!$E$7=TH!H1565,OR(N1565="331",O1565="331")),"x","")</f>
        <v/>
      </c>
    </row>
    <row r="1566" spans="1:16" ht="18" hidden="1" customHeight="1">
      <c r="A1566" s="72">
        <f t="shared" si="61"/>
        <v>2016</v>
      </c>
      <c r="B1566" s="72">
        <f t="shared" si="62"/>
        <v>6</v>
      </c>
      <c r="C1566" s="73">
        <v>42551</v>
      </c>
      <c r="D1566" s="73" t="s">
        <v>78</v>
      </c>
      <c r="E1566" s="73">
        <v>42528</v>
      </c>
      <c r="F1566" s="76" t="s">
        <v>1422</v>
      </c>
      <c r="G1566" s="265" t="s">
        <v>1423</v>
      </c>
      <c r="H1566" s="122" t="s">
        <v>268</v>
      </c>
      <c r="I1566" s="122"/>
      <c r="J1566" s="122"/>
      <c r="K1566" s="122"/>
      <c r="L1566" s="122"/>
      <c r="M1566" s="74">
        <v>2172148100</v>
      </c>
      <c r="N1566" s="75" t="s">
        <v>654</v>
      </c>
      <c r="O1566" s="75" t="s">
        <v>18</v>
      </c>
      <c r="P1566" s="134" t="str">
        <f>IF(AND('331-CT'!$E$7=TH!H1566,OR(N1566="331",O1566="331")),"x","")</f>
        <v>x</v>
      </c>
    </row>
    <row r="1567" spans="1:16" ht="18" hidden="1" customHeight="1">
      <c r="A1567" s="72">
        <f t="shared" si="61"/>
        <v>2016</v>
      </c>
      <c r="B1567" s="72">
        <f t="shared" si="62"/>
        <v>6</v>
      </c>
      <c r="C1567" s="73">
        <v>42551</v>
      </c>
      <c r="D1567" s="73" t="s">
        <v>78</v>
      </c>
      <c r="E1567" s="73">
        <v>42528</v>
      </c>
      <c r="F1567" s="76" t="s">
        <v>1424</v>
      </c>
      <c r="G1567" s="265" t="s">
        <v>1423</v>
      </c>
      <c r="H1567" s="122" t="s">
        <v>268</v>
      </c>
      <c r="I1567" s="122"/>
      <c r="J1567" s="122"/>
      <c r="K1567" s="122"/>
      <c r="L1567" s="122"/>
      <c r="M1567" s="74">
        <v>217214810</v>
      </c>
      <c r="N1567" s="75" t="s">
        <v>1443</v>
      </c>
      <c r="O1567" s="75" t="s">
        <v>18</v>
      </c>
      <c r="P1567" s="134" t="str">
        <f>IF(AND('331-CT'!$E$7=TH!H1567,OR(N1567="331",O1567="331")),"x","")</f>
        <v>x</v>
      </c>
    </row>
    <row r="1568" spans="1:16" ht="18" hidden="1" customHeight="1">
      <c r="A1568" s="72">
        <f t="shared" si="61"/>
        <v>2016</v>
      </c>
      <c r="B1568" s="72">
        <f t="shared" si="62"/>
        <v>6</v>
      </c>
      <c r="C1568" s="73">
        <v>42551</v>
      </c>
      <c r="D1568" s="73" t="s">
        <v>78</v>
      </c>
      <c r="E1568" s="73">
        <v>42531</v>
      </c>
      <c r="F1568" s="76" t="s">
        <v>1425</v>
      </c>
      <c r="G1568" s="265" t="s">
        <v>1426</v>
      </c>
      <c r="H1568" s="122" t="s">
        <v>138</v>
      </c>
      <c r="I1568" s="122"/>
      <c r="J1568" s="122"/>
      <c r="K1568" s="122"/>
      <c r="L1568" s="122"/>
      <c r="M1568" s="74">
        <v>1515073526</v>
      </c>
      <c r="N1568" s="75" t="s">
        <v>654</v>
      </c>
      <c r="O1568" s="75" t="s">
        <v>18</v>
      </c>
      <c r="P1568" s="134" t="str">
        <f>IF(AND('331-CT'!$E$7=TH!H1568,OR(N1568="331",O1568="331")),"x","")</f>
        <v/>
      </c>
    </row>
    <row r="1569" spans="1:16" ht="18" hidden="1" customHeight="1">
      <c r="A1569" s="72">
        <f t="shared" si="61"/>
        <v>2016</v>
      </c>
      <c r="B1569" s="72">
        <f t="shared" si="62"/>
        <v>6</v>
      </c>
      <c r="C1569" s="73">
        <v>42551</v>
      </c>
      <c r="D1569" s="73" t="s">
        <v>78</v>
      </c>
      <c r="E1569" s="73">
        <v>42531</v>
      </c>
      <c r="F1569" s="76" t="s">
        <v>1427</v>
      </c>
      <c r="G1569" s="265" t="s">
        <v>1426</v>
      </c>
      <c r="H1569" s="122" t="s">
        <v>138</v>
      </c>
      <c r="I1569" s="122"/>
      <c r="J1569" s="122"/>
      <c r="K1569" s="122"/>
      <c r="L1569" s="122"/>
      <c r="M1569" s="74">
        <v>151507353</v>
      </c>
      <c r="N1569" s="75" t="s">
        <v>1443</v>
      </c>
      <c r="O1569" s="75" t="s">
        <v>18</v>
      </c>
      <c r="P1569" s="134" t="str">
        <f>IF(AND('331-CT'!$E$7=TH!H1569,OR(N1569="331",O1569="331")),"x","")</f>
        <v/>
      </c>
    </row>
    <row r="1570" spans="1:16" ht="18" hidden="1" customHeight="1">
      <c r="A1570" s="72">
        <f t="shared" si="61"/>
        <v>2016</v>
      </c>
      <c r="B1570" s="72">
        <f t="shared" si="62"/>
        <v>6</v>
      </c>
      <c r="C1570" s="73">
        <v>42551</v>
      </c>
      <c r="D1570" s="73" t="s">
        <v>78</v>
      </c>
      <c r="E1570" s="73">
        <v>42551</v>
      </c>
      <c r="F1570" s="76" t="s">
        <v>1440</v>
      </c>
      <c r="G1570" s="265"/>
      <c r="H1570" s="122" t="s">
        <v>519</v>
      </c>
      <c r="I1570" s="122"/>
      <c r="J1570" s="122"/>
      <c r="K1570" s="122"/>
      <c r="L1570" s="122"/>
      <c r="M1570" s="74">
        <v>1219554047</v>
      </c>
      <c r="N1570" s="75" t="s">
        <v>212</v>
      </c>
      <c r="O1570" s="75" t="s">
        <v>1443</v>
      </c>
      <c r="P1570" s="134" t="str">
        <f>IF(AND('331-CT'!$E$7=TH!H1570,OR(N1570="331",O1570="331")),"x","")</f>
        <v/>
      </c>
    </row>
    <row r="1571" spans="1:16" ht="18" hidden="1" customHeight="1">
      <c r="A1571" s="72">
        <f t="shared" si="61"/>
        <v>2016</v>
      </c>
      <c r="B1571" s="72">
        <f t="shared" si="62"/>
        <v>6</v>
      </c>
      <c r="C1571" s="73">
        <v>42551</v>
      </c>
      <c r="D1571" s="73" t="s">
        <v>802</v>
      </c>
      <c r="E1571" s="73">
        <v>42551</v>
      </c>
      <c r="F1571" s="76" t="s">
        <v>1441</v>
      </c>
      <c r="G1571" s="265"/>
      <c r="H1571" s="122" t="s">
        <v>430</v>
      </c>
      <c r="I1571" s="122"/>
      <c r="J1571" s="122"/>
      <c r="K1571" s="122"/>
      <c r="L1571" s="122"/>
      <c r="M1571" s="74">
        <v>1927273</v>
      </c>
      <c r="N1571" s="75" t="s">
        <v>241</v>
      </c>
      <c r="O1571" s="75" t="s">
        <v>203</v>
      </c>
      <c r="P1571" s="134" t="str">
        <f>IF(AND('331-CT'!$E$7=TH!H1571,OR(N1571="331",O1571="331")),"x","")</f>
        <v/>
      </c>
    </row>
    <row r="1572" spans="1:16" ht="18" hidden="1" customHeight="1">
      <c r="A1572" s="72">
        <f t="shared" si="61"/>
        <v>2016</v>
      </c>
      <c r="B1572" s="72">
        <f t="shared" si="62"/>
        <v>6</v>
      </c>
      <c r="C1572" s="73">
        <v>42551</v>
      </c>
      <c r="D1572" s="73" t="s">
        <v>802</v>
      </c>
      <c r="E1572" s="73">
        <v>42551</v>
      </c>
      <c r="F1572" s="76" t="s">
        <v>1442</v>
      </c>
      <c r="G1572" s="265"/>
      <c r="H1572" s="122" t="s">
        <v>430</v>
      </c>
      <c r="I1572" s="122"/>
      <c r="J1572" s="122"/>
      <c r="K1572" s="122"/>
      <c r="L1572" s="122"/>
      <c r="M1572" s="74">
        <v>192727</v>
      </c>
      <c r="N1572" s="75" t="s">
        <v>19</v>
      </c>
      <c r="O1572" s="75" t="s">
        <v>203</v>
      </c>
      <c r="P1572" s="134" t="str">
        <f>IF(AND('331-CT'!$E$7=TH!H1572,OR(N1572="331",O1572="331")),"x","")</f>
        <v/>
      </c>
    </row>
    <row r="1573" spans="1:16" ht="18" hidden="1" customHeight="1">
      <c r="A1573" s="72">
        <f t="shared" si="61"/>
        <v>2016</v>
      </c>
      <c r="B1573" s="72">
        <f t="shared" si="62"/>
        <v>6</v>
      </c>
      <c r="C1573" s="73">
        <v>42551</v>
      </c>
      <c r="D1573" s="73" t="s">
        <v>803</v>
      </c>
      <c r="E1573" s="73">
        <v>42551</v>
      </c>
      <c r="F1573" s="76" t="s">
        <v>1464</v>
      </c>
      <c r="G1573" s="265" t="s">
        <v>1242</v>
      </c>
      <c r="H1573" s="122" t="s">
        <v>271</v>
      </c>
      <c r="I1573" s="122"/>
      <c r="J1573" s="122"/>
      <c r="K1573" s="122"/>
      <c r="L1573" s="122"/>
      <c r="M1573" s="74">
        <v>55000000</v>
      </c>
      <c r="N1573" s="75" t="s">
        <v>54</v>
      </c>
      <c r="O1573" s="75" t="s">
        <v>203</v>
      </c>
      <c r="P1573" s="134" t="str">
        <f>IF(AND('331-CT'!$E$7=TH!H1573,OR(N1573="331",O1573="331")),"x","")</f>
        <v/>
      </c>
    </row>
    <row r="1574" spans="1:16" ht="18" hidden="1" customHeight="1">
      <c r="A1574" s="72">
        <f t="shared" si="61"/>
        <v>2016</v>
      </c>
      <c r="B1574" s="72">
        <f t="shared" si="62"/>
        <v>6</v>
      </c>
      <c r="C1574" s="73">
        <v>42551</v>
      </c>
      <c r="D1574" s="73" t="s">
        <v>17</v>
      </c>
      <c r="E1574" s="73">
        <v>42551</v>
      </c>
      <c r="F1574" s="76" t="s">
        <v>1465</v>
      </c>
      <c r="G1574" s="265" t="s">
        <v>1242</v>
      </c>
      <c r="H1574" s="122" t="s">
        <v>648</v>
      </c>
      <c r="I1574" s="122"/>
      <c r="J1574" s="122"/>
      <c r="K1574" s="122"/>
      <c r="L1574" s="122"/>
      <c r="M1574" s="74">
        <v>54254970</v>
      </c>
      <c r="N1574" s="75" t="s">
        <v>18</v>
      </c>
      <c r="O1574" s="75" t="s">
        <v>54</v>
      </c>
      <c r="P1574" s="134" t="str">
        <f>IF(AND('331-CT'!$E$7=TH!H1574,OR(N1574="331",O1574="331")),"x","")</f>
        <v/>
      </c>
    </row>
    <row r="1575" spans="1:16" ht="18" hidden="1" customHeight="1">
      <c r="A1575" s="72">
        <f t="shared" si="61"/>
        <v>2016</v>
      </c>
      <c r="B1575" s="72">
        <f t="shared" si="62"/>
        <v>6</v>
      </c>
      <c r="C1575" s="73">
        <v>42551</v>
      </c>
      <c r="D1575" s="73" t="s">
        <v>17</v>
      </c>
      <c r="E1575" s="73">
        <v>42551</v>
      </c>
      <c r="F1575" s="76" t="s">
        <v>34</v>
      </c>
      <c r="G1575" s="265" t="s">
        <v>1242</v>
      </c>
      <c r="H1575" s="122"/>
      <c r="I1575" s="122"/>
      <c r="J1575" s="122"/>
      <c r="K1575" s="122"/>
      <c r="L1575" s="122"/>
      <c r="M1575" s="74">
        <v>47127</v>
      </c>
      <c r="N1575" s="75" t="s">
        <v>241</v>
      </c>
      <c r="O1575" s="75" t="s">
        <v>54</v>
      </c>
      <c r="P1575" s="134" t="str">
        <f>IF(AND('331-CT'!$E$7=TH!H1575,OR(N1575="331",O1575="331")),"x","")</f>
        <v/>
      </c>
    </row>
    <row r="1576" spans="1:16" ht="18" hidden="1" customHeight="1">
      <c r="A1576" s="72">
        <f t="shared" si="61"/>
        <v>2016</v>
      </c>
      <c r="B1576" s="72">
        <f t="shared" si="62"/>
        <v>6</v>
      </c>
      <c r="C1576" s="73">
        <v>42551</v>
      </c>
      <c r="D1576" s="73" t="s">
        <v>17</v>
      </c>
      <c r="E1576" s="73">
        <v>42551</v>
      </c>
      <c r="F1576" s="76" t="s">
        <v>35</v>
      </c>
      <c r="G1576" s="265" t="s">
        <v>1242</v>
      </c>
      <c r="H1576" s="122"/>
      <c r="I1576" s="122"/>
      <c r="J1576" s="122"/>
      <c r="K1576" s="122"/>
      <c r="L1576" s="122"/>
      <c r="M1576" s="74">
        <v>4713</v>
      </c>
      <c r="N1576" s="75" t="s">
        <v>19</v>
      </c>
      <c r="O1576" s="75" t="s">
        <v>54</v>
      </c>
      <c r="P1576" s="134" t="str">
        <f>IF(AND('331-CT'!$E$7=TH!H1576,OR(N1576="331",O1576="331")),"x","")</f>
        <v/>
      </c>
    </row>
    <row r="1577" spans="1:16" ht="18" hidden="1" customHeight="1">
      <c r="A1577" s="72">
        <f t="shared" si="61"/>
        <v>2016</v>
      </c>
      <c r="B1577" s="72">
        <f t="shared" si="62"/>
        <v>7</v>
      </c>
      <c r="C1577" s="73">
        <v>42562</v>
      </c>
      <c r="D1577" s="73" t="s">
        <v>78</v>
      </c>
      <c r="E1577" s="73">
        <v>42562</v>
      </c>
      <c r="F1577" s="76" t="s">
        <v>1466</v>
      </c>
      <c r="G1577" s="265" t="s">
        <v>1467</v>
      </c>
      <c r="H1577" s="122" t="s">
        <v>648</v>
      </c>
      <c r="I1577" s="122"/>
      <c r="J1577" s="122"/>
      <c r="K1577" s="122"/>
      <c r="L1577" s="122"/>
      <c r="M1577" s="74">
        <v>24508900</v>
      </c>
      <c r="N1577" s="75" t="s">
        <v>241</v>
      </c>
      <c r="O1577" s="75" t="s">
        <v>18</v>
      </c>
      <c r="P1577" s="134" t="str">
        <f>IF(AND('331-CT'!$E$7=TH!H1577,OR(N1577="331",O1577="331")),"x","")</f>
        <v/>
      </c>
    </row>
    <row r="1578" spans="1:16" ht="18" hidden="1" customHeight="1">
      <c r="A1578" s="72">
        <f t="shared" si="61"/>
        <v>2016</v>
      </c>
      <c r="B1578" s="72">
        <f t="shared" si="62"/>
        <v>7</v>
      </c>
      <c r="C1578" s="73">
        <v>42562</v>
      </c>
      <c r="D1578" s="73" t="s">
        <v>78</v>
      </c>
      <c r="E1578" s="73">
        <v>42562</v>
      </c>
      <c r="F1578" s="76" t="s">
        <v>1468</v>
      </c>
      <c r="G1578" s="265" t="s">
        <v>1467</v>
      </c>
      <c r="H1578" s="122" t="s">
        <v>648</v>
      </c>
      <c r="I1578" s="122"/>
      <c r="J1578" s="122"/>
      <c r="K1578" s="122"/>
      <c r="L1578" s="122"/>
      <c r="M1578" s="74">
        <v>2450890</v>
      </c>
      <c r="N1578" s="75" t="s">
        <v>19</v>
      </c>
      <c r="O1578" s="75" t="s">
        <v>18</v>
      </c>
      <c r="P1578" s="134" t="str">
        <f>IF(AND('331-CT'!$E$7=TH!H1578,OR(N1578="331",O1578="331")),"x","")</f>
        <v/>
      </c>
    </row>
    <row r="1579" spans="1:16" ht="18" hidden="1" customHeight="1">
      <c r="A1579" s="72">
        <f t="shared" si="61"/>
        <v>2016</v>
      </c>
      <c r="B1579" s="72">
        <f t="shared" si="62"/>
        <v>7</v>
      </c>
      <c r="C1579" s="73">
        <v>42577</v>
      </c>
      <c r="D1579" s="73" t="s">
        <v>78</v>
      </c>
      <c r="E1579" s="73">
        <v>42577</v>
      </c>
      <c r="F1579" s="76" t="s">
        <v>1469</v>
      </c>
      <c r="G1579" s="265" t="s">
        <v>1470</v>
      </c>
      <c r="H1579" s="122" t="s">
        <v>648</v>
      </c>
      <c r="I1579" s="122"/>
      <c r="J1579" s="122"/>
      <c r="K1579" s="122"/>
      <c r="L1579" s="122"/>
      <c r="M1579" s="74">
        <v>23796000</v>
      </c>
      <c r="N1579" s="75" t="s">
        <v>241</v>
      </c>
      <c r="O1579" s="75" t="s">
        <v>18</v>
      </c>
      <c r="P1579" s="134" t="str">
        <f>IF(AND('331-CT'!$E$7=TH!H1579,OR(N1579="331",O1579="331")),"x","")</f>
        <v/>
      </c>
    </row>
    <row r="1580" spans="1:16" ht="18" hidden="1" customHeight="1">
      <c r="A1580" s="72">
        <f t="shared" si="61"/>
        <v>2016</v>
      </c>
      <c r="B1580" s="72">
        <f t="shared" si="62"/>
        <v>7</v>
      </c>
      <c r="C1580" s="73">
        <v>42577</v>
      </c>
      <c r="D1580" s="73" t="s">
        <v>78</v>
      </c>
      <c r="E1580" s="73">
        <v>42577</v>
      </c>
      <c r="F1580" s="76" t="s">
        <v>1471</v>
      </c>
      <c r="G1580" s="265" t="s">
        <v>1470</v>
      </c>
      <c r="H1580" s="122" t="s">
        <v>648</v>
      </c>
      <c r="I1580" s="122"/>
      <c r="J1580" s="122"/>
      <c r="K1580" s="122"/>
      <c r="L1580" s="122"/>
      <c r="M1580" s="74">
        <v>2379600</v>
      </c>
      <c r="N1580" s="75" t="s">
        <v>19</v>
      </c>
      <c r="O1580" s="75" t="s">
        <v>18</v>
      </c>
      <c r="P1580" s="134" t="str">
        <f>IF(AND('331-CT'!$E$7=TH!H1580,OR(N1580="331",O1580="331")),"x","")</f>
        <v/>
      </c>
    </row>
    <row r="1581" spans="1:16" ht="18" hidden="1" customHeight="1">
      <c r="A1581" s="72">
        <f t="shared" si="61"/>
        <v>2016</v>
      </c>
      <c r="B1581" s="72">
        <f t="shared" si="62"/>
        <v>7</v>
      </c>
      <c r="C1581" s="73">
        <v>42552</v>
      </c>
      <c r="D1581" s="73"/>
      <c r="E1581" s="73">
        <v>42552</v>
      </c>
      <c r="F1581" s="76" t="s">
        <v>1472</v>
      </c>
      <c r="G1581" s="265" t="s">
        <v>1473</v>
      </c>
      <c r="H1581" s="122" t="s">
        <v>1474</v>
      </c>
      <c r="I1581" s="122"/>
      <c r="J1581" s="122"/>
      <c r="K1581" s="122"/>
      <c r="L1581" s="122"/>
      <c r="M1581" s="74">
        <v>17000000</v>
      </c>
      <c r="N1581" s="75" t="s">
        <v>654</v>
      </c>
      <c r="O1581" s="75" t="s">
        <v>203</v>
      </c>
      <c r="P1581" s="134" t="str">
        <f>IF(AND('331-CT'!$E$7=TH!H1581,OR(N1581="331",O1581="331")),"x","")</f>
        <v/>
      </c>
    </row>
    <row r="1582" spans="1:16" ht="18" hidden="1" customHeight="1">
      <c r="A1582" s="72">
        <f t="shared" si="61"/>
        <v>2016</v>
      </c>
      <c r="B1582" s="72">
        <f t="shared" si="62"/>
        <v>7</v>
      </c>
      <c r="C1582" s="73">
        <v>42552</v>
      </c>
      <c r="D1582" s="73"/>
      <c r="E1582" s="73">
        <v>42552</v>
      </c>
      <c r="F1582" s="76" t="s">
        <v>1475</v>
      </c>
      <c r="G1582" s="265" t="s">
        <v>1473</v>
      </c>
      <c r="H1582" s="122" t="s">
        <v>1474</v>
      </c>
      <c r="I1582" s="122"/>
      <c r="J1582" s="122"/>
      <c r="K1582" s="122"/>
      <c r="L1582" s="122"/>
      <c r="M1582" s="74">
        <v>1700000</v>
      </c>
      <c r="N1582" s="75" t="s">
        <v>19</v>
      </c>
      <c r="O1582" s="75" t="s">
        <v>203</v>
      </c>
      <c r="P1582" s="134" t="str">
        <f>IF(AND('331-CT'!$E$7=TH!H1582,OR(N1582="331",O1582="331")),"x","")</f>
        <v/>
      </c>
    </row>
    <row r="1583" spans="1:16" ht="18" hidden="1" customHeight="1">
      <c r="A1583" s="72">
        <f t="shared" si="61"/>
        <v>2016</v>
      </c>
      <c r="B1583" s="72">
        <f t="shared" si="62"/>
        <v>7</v>
      </c>
      <c r="C1583" s="73">
        <v>42561</v>
      </c>
      <c r="D1583" s="73"/>
      <c r="E1583" s="73">
        <v>42561</v>
      </c>
      <c r="F1583" s="76" t="s">
        <v>1472</v>
      </c>
      <c r="G1583" s="265" t="s">
        <v>1476</v>
      </c>
      <c r="H1583" s="122" t="s">
        <v>1474</v>
      </c>
      <c r="I1583" s="122"/>
      <c r="J1583" s="122"/>
      <c r="K1583" s="122"/>
      <c r="L1583" s="122"/>
      <c r="M1583" s="74">
        <v>17000000</v>
      </c>
      <c r="N1583" s="75" t="s">
        <v>654</v>
      </c>
      <c r="O1583" s="75" t="s">
        <v>203</v>
      </c>
      <c r="P1583" s="134" t="str">
        <f>IF(AND('331-CT'!$E$7=TH!H1583,OR(N1583="331",O1583="331")),"x","")</f>
        <v/>
      </c>
    </row>
    <row r="1584" spans="1:16" ht="18" hidden="1" customHeight="1">
      <c r="A1584" s="72">
        <f t="shared" si="61"/>
        <v>2016</v>
      </c>
      <c r="B1584" s="72">
        <f t="shared" si="62"/>
        <v>7</v>
      </c>
      <c r="C1584" s="73">
        <v>42561</v>
      </c>
      <c r="D1584" s="73"/>
      <c r="E1584" s="73">
        <v>42561</v>
      </c>
      <c r="F1584" s="76" t="s">
        <v>1475</v>
      </c>
      <c r="G1584" s="265" t="s">
        <v>1476</v>
      </c>
      <c r="H1584" s="122" t="s">
        <v>1474</v>
      </c>
      <c r="I1584" s="122"/>
      <c r="J1584" s="122"/>
      <c r="K1584" s="122"/>
      <c r="L1584" s="122"/>
      <c r="M1584" s="74">
        <v>1700000</v>
      </c>
      <c r="N1584" s="75" t="s">
        <v>19</v>
      </c>
      <c r="O1584" s="75" t="s">
        <v>203</v>
      </c>
      <c r="P1584" s="134" t="str">
        <f>IF(AND('331-CT'!$E$7=TH!H1584,OR(N1584="331",O1584="331")),"x","")</f>
        <v/>
      </c>
    </row>
    <row r="1585" spans="1:16" ht="18" hidden="1" customHeight="1">
      <c r="A1585" s="72">
        <f t="shared" si="61"/>
        <v>2016</v>
      </c>
      <c r="B1585" s="72">
        <f t="shared" si="62"/>
        <v>7</v>
      </c>
      <c r="C1585" s="73">
        <v>42555</v>
      </c>
      <c r="D1585" s="73"/>
      <c r="E1585" s="73">
        <v>42555</v>
      </c>
      <c r="F1585" s="76" t="s">
        <v>1271</v>
      </c>
      <c r="G1585" s="265" t="s">
        <v>1477</v>
      </c>
      <c r="H1585" s="122" t="s">
        <v>83</v>
      </c>
      <c r="I1585" s="122"/>
      <c r="J1585" s="122"/>
      <c r="K1585" s="122"/>
      <c r="L1585" s="122"/>
      <c r="M1585" s="74">
        <v>6279273</v>
      </c>
      <c r="N1585" s="75" t="s">
        <v>241</v>
      </c>
      <c r="O1585" s="75" t="s">
        <v>203</v>
      </c>
      <c r="P1585" s="134" t="str">
        <f>IF(AND('331-CT'!$E$7=TH!H1585,OR(N1585="331",O1585="331")),"x","")</f>
        <v/>
      </c>
    </row>
    <row r="1586" spans="1:16" ht="18" hidden="1" customHeight="1">
      <c r="A1586" s="72">
        <f t="shared" si="61"/>
        <v>2016</v>
      </c>
      <c r="B1586" s="72">
        <f t="shared" si="62"/>
        <v>7</v>
      </c>
      <c r="C1586" s="73">
        <v>42555</v>
      </c>
      <c r="D1586" s="73"/>
      <c r="E1586" s="73">
        <v>42555</v>
      </c>
      <c r="F1586" s="76" t="s">
        <v>1273</v>
      </c>
      <c r="G1586" s="265" t="s">
        <v>1477</v>
      </c>
      <c r="H1586" s="122" t="s">
        <v>83</v>
      </c>
      <c r="I1586" s="122"/>
      <c r="J1586" s="122"/>
      <c r="K1586" s="122"/>
      <c r="L1586" s="122"/>
      <c r="M1586" s="74">
        <v>627927</v>
      </c>
      <c r="N1586" s="75" t="s">
        <v>19</v>
      </c>
      <c r="O1586" s="75" t="s">
        <v>203</v>
      </c>
      <c r="P1586" s="134" t="str">
        <f>IF(AND('331-CT'!$E$7=TH!H1586,OR(N1586="331",O1586="331")),"x","")</f>
        <v/>
      </c>
    </row>
    <row r="1587" spans="1:16" ht="18" hidden="1" customHeight="1">
      <c r="A1587" s="72">
        <f t="shared" ref="A1587:A1588" si="63">IF(C1587&lt;&gt;"",YEAR(C1587),"")</f>
        <v>2016</v>
      </c>
      <c r="B1587" s="72">
        <f t="shared" ref="B1587:B1588" si="64">IF(C1587&lt;&gt;"",MONTH(C1587),"")</f>
        <v>7</v>
      </c>
      <c r="C1587" s="73">
        <v>42559</v>
      </c>
      <c r="D1587" s="73"/>
      <c r="E1587" s="73">
        <v>42559</v>
      </c>
      <c r="F1587" s="76" t="s">
        <v>1186</v>
      </c>
      <c r="G1587" s="265" t="s">
        <v>1478</v>
      </c>
      <c r="H1587" s="122" t="s">
        <v>828</v>
      </c>
      <c r="I1587" s="122"/>
      <c r="J1587" s="122"/>
      <c r="K1587" s="122"/>
      <c r="L1587" s="122"/>
      <c r="M1587" s="74">
        <v>867000</v>
      </c>
      <c r="N1587" s="75" t="s">
        <v>654</v>
      </c>
      <c r="O1587" s="75" t="s">
        <v>203</v>
      </c>
      <c r="P1587" s="134" t="str">
        <f>IF(AND('331-CT'!$E$7=TH!H1587,OR(N1587="331",O1587="331")),"x","")</f>
        <v/>
      </c>
    </row>
    <row r="1588" spans="1:16" ht="18" hidden="1" customHeight="1">
      <c r="A1588" s="72">
        <f t="shared" si="63"/>
        <v>2016</v>
      </c>
      <c r="B1588" s="72">
        <f t="shared" si="64"/>
        <v>7</v>
      </c>
      <c r="C1588" s="73">
        <v>42561</v>
      </c>
      <c r="D1588" s="73"/>
      <c r="E1588" s="73">
        <v>42561</v>
      </c>
      <c r="F1588" s="76" t="s">
        <v>1479</v>
      </c>
      <c r="G1588" s="265" t="s">
        <v>1375</v>
      </c>
      <c r="H1588" s="122" t="s">
        <v>782</v>
      </c>
      <c r="I1588" s="122"/>
      <c r="J1588" s="122"/>
      <c r="K1588" s="122"/>
      <c r="L1588" s="122"/>
      <c r="M1588" s="74">
        <v>7272727</v>
      </c>
      <c r="N1588" s="75" t="s">
        <v>241</v>
      </c>
      <c r="O1588" s="75" t="s">
        <v>203</v>
      </c>
      <c r="P1588" s="134" t="str">
        <f>IF(AND('331-CT'!$E$7=TH!H1588,OR(N1588="331",O1588="331")),"x","")</f>
        <v/>
      </c>
    </row>
    <row r="1589" spans="1:16" ht="18" hidden="1" customHeight="1">
      <c r="A1589" s="72">
        <f t="shared" ref="A1589:A1652" si="65">IF(C1589&lt;&gt;"",YEAR(C1589),"")</f>
        <v>2016</v>
      </c>
      <c r="B1589" s="72">
        <f t="shared" ref="B1589:B1652" si="66">IF(C1589&lt;&gt;"",MONTH(C1589),"")</f>
        <v>7</v>
      </c>
      <c r="C1589" s="73">
        <v>42561</v>
      </c>
      <c r="D1589" s="73"/>
      <c r="E1589" s="73">
        <v>42561</v>
      </c>
      <c r="F1589" s="76" t="s">
        <v>1480</v>
      </c>
      <c r="G1589" s="265" t="s">
        <v>1375</v>
      </c>
      <c r="H1589" s="122" t="s">
        <v>782</v>
      </c>
      <c r="I1589" s="122"/>
      <c r="J1589" s="122"/>
      <c r="K1589" s="122"/>
      <c r="L1589" s="122"/>
      <c r="M1589" s="74">
        <v>727273</v>
      </c>
      <c r="N1589" s="75" t="s">
        <v>19</v>
      </c>
      <c r="O1589" s="75" t="s">
        <v>203</v>
      </c>
      <c r="P1589" s="134" t="str">
        <f>IF(AND('331-CT'!$E$7=TH!H1589,OR(N1589="331",O1589="331")),"x","")</f>
        <v/>
      </c>
    </row>
    <row r="1590" spans="1:16" ht="18" hidden="1" customHeight="1">
      <c r="A1590" s="72">
        <f t="shared" si="65"/>
        <v>2016</v>
      </c>
      <c r="B1590" s="72">
        <f t="shared" si="66"/>
        <v>7</v>
      </c>
      <c r="C1590" s="73">
        <v>42562</v>
      </c>
      <c r="D1590" s="73"/>
      <c r="E1590" s="73">
        <v>42562</v>
      </c>
      <c r="F1590" s="76" t="s">
        <v>1186</v>
      </c>
      <c r="G1590" s="265" t="s">
        <v>1481</v>
      </c>
      <c r="H1590" s="122" t="s">
        <v>828</v>
      </c>
      <c r="I1590" s="122"/>
      <c r="J1590" s="122"/>
      <c r="K1590" s="122"/>
      <c r="L1590" s="122"/>
      <c r="M1590" s="74">
        <v>1553000</v>
      </c>
      <c r="N1590" s="75" t="s">
        <v>654</v>
      </c>
      <c r="O1590" s="75" t="s">
        <v>203</v>
      </c>
      <c r="P1590" s="134" t="str">
        <f>IF(AND('331-CT'!$E$7=TH!H1590,OR(N1590="331",O1590="331")),"x","")</f>
        <v/>
      </c>
    </row>
    <row r="1591" spans="1:16" ht="18" hidden="1" customHeight="1">
      <c r="A1591" s="72">
        <f t="shared" si="65"/>
        <v>2016</v>
      </c>
      <c r="B1591" s="72">
        <f t="shared" si="66"/>
        <v>7</v>
      </c>
      <c r="C1591" s="73">
        <v>42565</v>
      </c>
      <c r="D1591" s="73" t="s">
        <v>78</v>
      </c>
      <c r="E1591" s="73">
        <v>42565</v>
      </c>
      <c r="F1591" s="76" t="s">
        <v>1482</v>
      </c>
      <c r="G1591" s="265" t="s">
        <v>1483</v>
      </c>
      <c r="H1591" s="122" t="s">
        <v>1484</v>
      </c>
      <c r="I1591" s="122"/>
      <c r="J1591" s="122"/>
      <c r="K1591" s="122"/>
      <c r="L1591" s="122"/>
      <c r="M1591" s="74">
        <v>28700000</v>
      </c>
      <c r="N1591" s="75" t="s">
        <v>654</v>
      </c>
      <c r="O1591" s="75" t="s">
        <v>18</v>
      </c>
      <c r="P1591" s="134" t="str">
        <f>IF(AND('331-CT'!$E$7=TH!H1591,OR(N1591="331",O1591="331")),"x","")</f>
        <v/>
      </c>
    </row>
    <row r="1592" spans="1:16" ht="18" hidden="1" customHeight="1">
      <c r="A1592" s="72">
        <f t="shared" si="65"/>
        <v>2016</v>
      </c>
      <c r="B1592" s="72">
        <f t="shared" si="66"/>
        <v>7</v>
      </c>
      <c r="C1592" s="73">
        <v>42565</v>
      </c>
      <c r="D1592" s="73" t="s">
        <v>78</v>
      </c>
      <c r="E1592" s="73">
        <v>42565</v>
      </c>
      <c r="F1592" s="76" t="s">
        <v>1485</v>
      </c>
      <c r="G1592" s="265" t="s">
        <v>1486</v>
      </c>
      <c r="H1592" s="122" t="s">
        <v>83</v>
      </c>
      <c r="I1592" s="122"/>
      <c r="J1592" s="122"/>
      <c r="K1592" s="122"/>
      <c r="L1592" s="122"/>
      <c r="M1592" s="74">
        <v>27600000</v>
      </c>
      <c r="N1592" s="75" t="s">
        <v>241</v>
      </c>
      <c r="O1592" s="75" t="s">
        <v>18</v>
      </c>
      <c r="P1592" s="134" t="str">
        <f>IF(AND('331-CT'!$E$7=TH!H1592,OR(N1592="331",O1592="331")),"x","")</f>
        <v/>
      </c>
    </row>
    <row r="1593" spans="1:16" ht="18" hidden="1" customHeight="1">
      <c r="A1593" s="72">
        <f t="shared" si="65"/>
        <v>2016</v>
      </c>
      <c r="B1593" s="72">
        <f t="shared" si="66"/>
        <v>7</v>
      </c>
      <c r="C1593" s="73">
        <v>42565</v>
      </c>
      <c r="D1593" s="73" t="s">
        <v>78</v>
      </c>
      <c r="E1593" s="73">
        <v>42565</v>
      </c>
      <c r="F1593" s="76" t="s">
        <v>1487</v>
      </c>
      <c r="G1593" s="265" t="s">
        <v>1486</v>
      </c>
      <c r="H1593" s="122" t="s">
        <v>83</v>
      </c>
      <c r="I1593" s="122"/>
      <c r="J1593" s="122"/>
      <c r="K1593" s="122"/>
      <c r="L1593" s="122"/>
      <c r="M1593" s="74">
        <v>2760000</v>
      </c>
      <c r="N1593" s="75" t="s">
        <v>19</v>
      </c>
      <c r="O1593" s="75" t="s">
        <v>18</v>
      </c>
      <c r="P1593" s="134" t="str">
        <f>IF(AND('331-CT'!$E$7=TH!H1593,OR(N1593="331",O1593="331")),"x","")</f>
        <v/>
      </c>
    </row>
    <row r="1594" spans="1:16" ht="18" hidden="1" customHeight="1">
      <c r="A1594" s="72">
        <f t="shared" si="65"/>
        <v>2016</v>
      </c>
      <c r="B1594" s="72">
        <f t="shared" si="66"/>
        <v>7</v>
      </c>
      <c r="C1594" s="73">
        <v>42565</v>
      </c>
      <c r="D1594" s="73"/>
      <c r="E1594" s="73">
        <v>42565</v>
      </c>
      <c r="F1594" s="76" t="s">
        <v>1488</v>
      </c>
      <c r="G1594" s="265" t="s">
        <v>1489</v>
      </c>
      <c r="H1594" s="122" t="s">
        <v>1490</v>
      </c>
      <c r="I1594" s="122"/>
      <c r="J1594" s="122"/>
      <c r="K1594" s="122"/>
      <c r="L1594" s="122"/>
      <c r="M1594" s="74">
        <v>4008182</v>
      </c>
      <c r="N1594" s="75" t="s">
        <v>241</v>
      </c>
      <c r="O1594" s="75" t="s">
        <v>203</v>
      </c>
      <c r="P1594" s="134" t="str">
        <f>IF(AND('331-CT'!$E$7=TH!H1594,OR(N1594="331",O1594="331")),"x","")</f>
        <v/>
      </c>
    </row>
    <row r="1595" spans="1:16" ht="18" hidden="1" customHeight="1">
      <c r="A1595" s="72">
        <f t="shared" si="65"/>
        <v>2016</v>
      </c>
      <c r="B1595" s="72">
        <f t="shared" si="66"/>
        <v>7</v>
      </c>
      <c r="C1595" s="73">
        <v>42565</v>
      </c>
      <c r="D1595" s="73"/>
      <c r="E1595" s="73">
        <v>42565</v>
      </c>
      <c r="F1595" s="76" t="s">
        <v>1491</v>
      </c>
      <c r="G1595" s="265" t="s">
        <v>1489</v>
      </c>
      <c r="H1595" s="122" t="s">
        <v>1490</v>
      </c>
      <c r="I1595" s="122"/>
      <c r="J1595" s="122"/>
      <c r="K1595" s="122"/>
      <c r="L1595" s="122"/>
      <c r="M1595" s="74">
        <v>400818</v>
      </c>
      <c r="N1595" s="75" t="s">
        <v>19</v>
      </c>
      <c r="O1595" s="75" t="s">
        <v>203</v>
      </c>
      <c r="P1595" s="134" t="str">
        <f>IF(AND('331-CT'!$E$7=TH!H1595,OR(N1595="331",O1595="331")),"x","")</f>
        <v/>
      </c>
    </row>
    <row r="1596" spans="1:16" ht="18" hidden="1" customHeight="1">
      <c r="A1596" s="72">
        <f t="shared" si="65"/>
        <v>2016</v>
      </c>
      <c r="B1596" s="72">
        <f t="shared" si="66"/>
        <v>7</v>
      </c>
      <c r="C1596" s="73">
        <v>42566</v>
      </c>
      <c r="D1596" s="73"/>
      <c r="E1596" s="73">
        <v>42566</v>
      </c>
      <c r="F1596" s="76" t="s">
        <v>1186</v>
      </c>
      <c r="G1596" s="265" t="s">
        <v>1492</v>
      </c>
      <c r="H1596" s="122" t="s">
        <v>828</v>
      </c>
      <c r="I1596" s="122"/>
      <c r="J1596" s="122"/>
      <c r="K1596" s="122"/>
      <c r="L1596" s="122"/>
      <c r="M1596" s="74">
        <v>1305000</v>
      </c>
      <c r="N1596" s="75" t="s">
        <v>654</v>
      </c>
      <c r="O1596" s="75" t="s">
        <v>203</v>
      </c>
      <c r="P1596" s="134" t="str">
        <f>IF(AND('331-CT'!$E$7=TH!H1596,OR(N1596="331",O1596="331")),"x","")</f>
        <v/>
      </c>
    </row>
    <row r="1597" spans="1:16" ht="18" hidden="1" customHeight="1">
      <c r="A1597" s="72">
        <f t="shared" si="65"/>
        <v>2016</v>
      </c>
      <c r="B1597" s="72">
        <f t="shared" si="66"/>
        <v>7</v>
      </c>
      <c r="C1597" s="73">
        <v>42566</v>
      </c>
      <c r="D1597" s="73"/>
      <c r="E1597" s="73">
        <v>42566</v>
      </c>
      <c r="F1597" s="76" t="s">
        <v>1186</v>
      </c>
      <c r="G1597" s="265" t="s">
        <v>1493</v>
      </c>
      <c r="H1597" s="122" t="s">
        <v>828</v>
      </c>
      <c r="I1597" s="122"/>
      <c r="J1597" s="122"/>
      <c r="K1597" s="122"/>
      <c r="L1597" s="122"/>
      <c r="M1597" s="74">
        <v>2121000</v>
      </c>
      <c r="N1597" s="75" t="s">
        <v>654</v>
      </c>
      <c r="O1597" s="75" t="s">
        <v>203</v>
      </c>
      <c r="P1597" s="134" t="str">
        <f>IF(AND('331-CT'!$E$7=TH!H1597,OR(N1597="331",O1597="331")),"x","")</f>
        <v/>
      </c>
    </row>
    <row r="1598" spans="1:16" ht="18" hidden="1" customHeight="1">
      <c r="A1598" s="72">
        <f t="shared" si="65"/>
        <v>2016</v>
      </c>
      <c r="B1598" s="72">
        <f t="shared" si="66"/>
        <v>7</v>
      </c>
      <c r="C1598" s="73">
        <v>42569</v>
      </c>
      <c r="D1598" s="73"/>
      <c r="E1598" s="73">
        <v>42569</v>
      </c>
      <c r="F1598" s="76" t="s">
        <v>1494</v>
      </c>
      <c r="G1598" s="265" t="s">
        <v>1495</v>
      </c>
      <c r="H1598" s="122" t="s">
        <v>1496</v>
      </c>
      <c r="I1598" s="122"/>
      <c r="J1598" s="122"/>
      <c r="K1598" s="122"/>
      <c r="L1598" s="122"/>
      <c r="M1598" s="74">
        <v>5576350</v>
      </c>
      <c r="N1598" s="75" t="s">
        <v>241</v>
      </c>
      <c r="O1598" s="75" t="s">
        <v>203</v>
      </c>
      <c r="P1598" s="134" t="str">
        <f>IF(AND('331-CT'!$E$7=TH!H1598,OR(N1598="331",O1598="331")),"x","")</f>
        <v/>
      </c>
    </row>
    <row r="1599" spans="1:16" ht="18" hidden="1" customHeight="1">
      <c r="A1599" s="72">
        <f t="shared" si="65"/>
        <v>2016</v>
      </c>
      <c r="B1599" s="72">
        <f t="shared" si="66"/>
        <v>7</v>
      </c>
      <c r="C1599" s="73">
        <v>42569</v>
      </c>
      <c r="D1599" s="73"/>
      <c r="E1599" s="73">
        <v>42569</v>
      </c>
      <c r="F1599" s="76" t="s">
        <v>1497</v>
      </c>
      <c r="G1599" s="265" t="s">
        <v>1498</v>
      </c>
      <c r="H1599" s="122" t="s">
        <v>1496</v>
      </c>
      <c r="I1599" s="122"/>
      <c r="J1599" s="122"/>
      <c r="K1599" s="122"/>
      <c r="L1599" s="122"/>
      <c r="M1599" s="74">
        <v>557635</v>
      </c>
      <c r="N1599" s="75" t="s">
        <v>19</v>
      </c>
      <c r="O1599" s="75" t="s">
        <v>203</v>
      </c>
      <c r="P1599" s="134" t="str">
        <f>IF(AND('331-CT'!$E$7=TH!H1599,OR(N1599="331",O1599="331")),"x","")</f>
        <v/>
      </c>
    </row>
    <row r="1600" spans="1:16" ht="18" hidden="1" customHeight="1">
      <c r="A1600" s="72">
        <f t="shared" si="65"/>
        <v>2016</v>
      </c>
      <c r="B1600" s="72">
        <f t="shared" si="66"/>
        <v>7</v>
      </c>
      <c r="C1600" s="73">
        <v>42569</v>
      </c>
      <c r="D1600" s="73"/>
      <c r="E1600" s="73">
        <v>42569</v>
      </c>
      <c r="F1600" s="76" t="s">
        <v>1271</v>
      </c>
      <c r="G1600" s="265" t="s">
        <v>1477</v>
      </c>
      <c r="H1600" s="122" t="s">
        <v>83</v>
      </c>
      <c r="I1600" s="122"/>
      <c r="J1600" s="122"/>
      <c r="K1600" s="122"/>
      <c r="L1600" s="122"/>
      <c r="M1600" s="74">
        <v>6174545</v>
      </c>
      <c r="N1600" s="75" t="s">
        <v>241</v>
      </c>
      <c r="O1600" s="75" t="s">
        <v>203</v>
      </c>
      <c r="P1600" s="134" t="str">
        <f>IF(AND('331-CT'!$E$7=TH!H1600,OR(N1600="331",O1600="331")),"x","")</f>
        <v/>
      </c>
    </row>
    <row r="1601" spans="1:16" ht="18" hidden="1" customHeight="1">
      <c r="A1601" s="72">
        <f t="shared" si="65"/>
        <v>2016</v>
      </c>
      <c r="B1601" s="72">
        <f t="shared" si="66"/>
        <v>7</v>
      </c>
      <c r="C1601" s="73">
        <v>42569</v>
      </c>
      <c r="D1601" s="73"/>
      <c r="E1601" s="73">
        <v>42569</v>
      </c>
      <c r="F1601" s="76" t="s">
        <v>1273</v>
      </c>
      <c r="G1601" s="265" t="s">
        <v>1477</v>
      </c>
      <c r="H1601" s="122" t="s">
        <v>83</v>
      </c>
      <c r="I1601" s="122"/>
      <c r="J1601" s="122"/>
      <c r="K1601" s="122"/>
      <c r="L1601" s="122"/>
      <c r="M1601" s="74">
        <v>617455</v>
      </c>
      <c r="N1601" s="75" t="s">
        <v>19</v>
      </c>
      <c r="O1601" s="75" t="s">
        <v>203</v>
      </c>
      <c r="P1601" s="134" t="str">
        <f>IF(AND('331-CT'!$E$7=TH!H1601,OR(N1601="331",O1601="331")),"x","")</f>
        <v/>
      </c>
    </row>
    <row r="1602" spans="1:16" ht="18" hidden="1" customHeight="1">
      <c r="A1602" s="72">
        <f t="shared" si="65"/>
        <v>2016</v>
      </c>
      <c r="B1602" s="72">
        <f t="shared" si="66"/>
        <v>8</v>
      </c>
      <c r="C1602" s="73">
        <v>42590</v>
      </c>
      <c r="D1602" s="73" t="s">
        <v>78</v>
      </c>
      <c r="E1602" s="73">
        <v>42590</v>
      </c>
      <c r="F1602" s="76" t="s">
        <v>462</v>
      </c>
      <c r="G1602" s="265" t="s">
        <v>1499</v>
      </c>
      <c r="H1602" s="122" t="s">
        <v>299</v>
      </c>
      <c r="I1602" s="122"/>
      <c r="J1602" s="122"/>
      <c r="K1602" s="122"/>
      <c r="L1602" s="122"/>
      <c r="M1602" s="74">
        <v>11097728</v>
      </c>
      <c r="N1602" s="75" t="s">
        <v>654</v>
      </c>
      <c r="O1602" s="75" t="s">
        <v>18</v>
      </c>
      <c r="P1602" s="134" t="str">
        <f>IF(AND('331-CT'!$E$7=TH!H1602,OR(N1602="331",O1602="331")),"x","")</f>
        <v/>
      </c>
    </row>
    <row r="1603" spans="1:16" ht="18" hidden="1" customHeight="1">
      <c r="A1603" s="72">
        <f t="shared" si="65"/>
        <v>2016</v>
      </c>
      <c r="B1603" s="72">
        <f t="shared" si="66"/>
        <v>8</v>
      </c>
      <c r="C1603" s="73">
        <v>42590</v>
      </c>
      <c r="D1603" s="73" t="s">
        <v>78</v>
      </c>
      <c r="E1603" s="73">
        <v>42590</v>
      </c>
      <c r="F1603" s="76" t="s">
        <v>463</v>
      </c>
      <c r="G1603" s="265" t="s">
        <v>1499</v>
      </c>
      <c r="H1603" s="122" t="s">
        <v>299</v>
      </c>
      <c r="I1603" s="122"/>
      <c r="J1603" s="122"/>
      <c r="K1603" s="122"/>
      <c r="L1603" s="122"/>
      <c r="M1603" s="74">
        <v>1109772</v>
      </c>
      <c r="N1603" s="75" t="s">
        <v>19</v>
      </c>
      <c r="O1603" s="75" t="s">
        <v>18</v>
      </c>
      <c r="P1603" s="134" t="str">
        <f>IF(AND('331-CT'!$E$7=TH!H1603,OR(N1603="331",O1603="331")),"x","")</f>
        <v/>
      </c>
    </row>
    <row r="1604" spans="1:16" ht="18" hidden="1" customHeight="1">
      <c r="A1604" s="72">
        <f t="shared" si="65"/>
        <v>2016</v>
      </c>
      <c r="B1604" s="72">
        <f t="shared" si="66"/>
        <v>8</v>
      </c>
      <c r="C1604" s="73">
        <v>42590</v>
      </c>
      <c r="D1604" s="73" t="s">
        <v>78</v>
      </c>
      <c r="E1604" s="73">
        <v>42590</v>
      </c>
      <c r="F1604" s="76" t="s">
        <v>462</v>
      </c>
      <c r="G1604" s="265" t="s">
        <v>1500</v>
      </c>
      <c r="H1604" s="122" t="s">
        <v>299</v>
      </c>
      <c r="I1604" s="122"/>
      <c r="J1604" s="122"/>
      <c r="K1604" s="122"/>
      <c r="L1604" s="122"/>
      <c r="M1604" s="74">
        <v>8856363</v>
      </c>
      <c r="N1604" s="75" t="s">
        <v>654</v>
      </c>
      <c r="O1604" s="75" t="s">
        <v>18</v>
      </c>
      <c r="P1604" s="134" t="str">
        <f>IF(AND('331-CT'!$E$7=TH!H1604,OR(N1604="331",O1604="331")),"x","")</f>
        <v/>
      </c>
    </row>
    <row r="1605" spans="1:16" ht="18" hidden="1" customHeight="1">
      <c r="A1605" s="72">
        <f t="shared" si="65"/>
        <v>2016</v>
      </c>
      <c r="B1605" s="72">
        <f t="shared" si="66"/>
        <v>8</v>
      </c>
      <c r="C1605" s="73">
        <v>42590</v>
      </c>
      <c r="D1605" s="73" t="s">
        <v>78</v>
      </c>
      <c r="E1605" s="73">
        <v>42590</v>
      </c>
      <c r="F1605" s="76" t="s">
        <v>463</v>
      </c>
      <c r="G1605" s="265" t="s">
        <v>1500</v>
      </c>
      <c r="H1605" s="122" t="s">
        <v>299</v>
      </c>
      <c r="I1605" s="122"/>
      <c r="J1605" s="122"/>
      <c r="K1605" s="122"/>
      <c r="L1605" s="122"/>
      <c r="M1605" s="74">
        <v>885637</v>
      </c>
      <c r="N1605" s="75" t="s">
        <v>19</v>
      </c>
      <c r="O1605" s="75" t="s">
        <v>18</v>
      </c>
      <c r="P1605" s="134" t="str">
        <f>IF(AND('331-CT'!$E$7=TH!H1605,OR(N1605="331",O1605="331")),"x","")</f>
        <v/>
      </c>
    </row>
    <row r="1606" spans="1:16" ht="18" hidden="1" customHeight="1">
      <c r="A1606" s="72">
        <f t="shared" si="65"/>
        <v>2016</v>
      </c>
      <c r="B1606" s="72">
        <f t="shared" si="66"/>
        <v>8</v>
      </c>
      <c r="C1606" s="73">
        <v>42590</v>
      </c>
      <c r="D1606" s="73" t="s">
        <v>78</v>
      </c>
      <c r="E1606" s="73">
        <v>42590</v>
      </c>
      <c r="F1606" s="76" t="s">
        <v>462</v>
      </c>
      <c r="G1606" s="265" t="s">
        <v>1501</v>
      </c>
      <c r="H1606" s="122" t="s">
        <v>299</v>
      </c>
      <c r="I1606" s="122"/>
      <c r="J1606" s="122"/>
      <c r="K1606" s="122"/>
      <c r="L1606" s="122"/>
      <c r="M1606" s="74">
        <v>12179382</v>
      </c>
      <c r="N1606" s="75" t="s">
        <v>654</v>
      </c>
      <c r="O1606" s="75" t="s">
        <v>18</v>
      </c>
      <c r="P1606" s="134" t="str">
        <f>IF(AND('331-CT'!$E$7=TH!H1606,OR(N1606="331",O1606="331")),"x","")</f>
        <v/>
      </c>
    </row>
    <row r="1607" spans="1:16" ht="18" hidden="1" customHeight="1">
      <c r="A1607" s="72">
        <f t="shared" si="65"/>
        <v>2016</v>
      </c>
      <c r="B1607" s="72">
        <f t="shared" si="66"/>
        <v>8</v>
      </c>
      <c r="C1607" s="73">
        <v>42590</v>
      </c>
      <c r="D1607" s="73" t="s">
        <v>78</v>
      </c>
      <c r="E1607" s="73">
        <v>42590</v>
      </c>
      <c r="F1607" s="76" t="s">
        <v>463</v>
      </c>
      <c r="G1607" s="265" t="s">
        <v>1501</v>
      </c>
      <c r="H1607" s="122" t="s">
        <v>299</v>
      </c>
      <c r="I1607" s="122"/>
      <c r="J1607" s="122"/>
      <c r="K1607" s="122"/>
      <c r="L1607" s="122"/>
      <c r="M1607" s="74">
        <v>1217938</v>
      </c>
      <c r="N1607" s="75" t="s">
        <v>19</v>
      </c>
      <c r="O1607" s="75" t="s">
        <v>18</v>
      </c>
      <c r="P1607" s="134" t="str">
        <f>IF(AND('331-CT'!$E$7=TH!H1607,OR(N1607="331",O1607="331")),"x","")</f>
        <v/>
      </c>
    </row>
    <row r="1608" spans="1:16" ht="18" hidden="1" customHeight="1">
      <c r="A1608" s="72">
        <f t="shared" si="65"/>
        <v>2016</v>
      </c>
      <c r="B1608" s="72">
        <f t="shared" si="66"/>
        <v>8</v>
      </c>
      <c r="C1608" s="73">
        <v>42590</v>
      </c>
      <c r="D1608" s="73" t="s">
        <v>78</v>
      </c>
      <c r="E1608" s="73">
        <v>42590</v>
      </c>
      <c r="F1608" s="76" t="s">
        <v>462</v>
      </c>
      <c r="G1608" s="265" t="s">
        <v>1502</v>
      </c>
      <c r="H1608" s="122" t="s">
        <v>299</v>
      </c>
      <c r="I1608" s="122"/>
      <c r="J1608" s="122"/>
      <c r="K1608" s="122"/>
      <c r="L1608" s="122"/>
      <c r="M1608" s="74">
        <v>23736363</v>
      </c>
      <c r="N1608" s="75" t="s">
        <v>654</v>
      </c>
      <c r="O1608" s="75" t="s">
        <v>18</v>
      </c>
      <c r="P1608" s="134" t="str">
        <f>IF(AND('331-CT'!$E$7=TH!H1608,OR(N1608="331",O1608="331")),"x","")</f>
        <v/>
      </c>
    </row>
    <row r="1609" spans="1:16" ht="18" hidden="1" customHeight="1">
      <c r="A1609" s="72">
        <f t="shared" si="65"/>
        <v>2016</v>
      </c>
      <c r="B1609" s="72">
        <f t="shared" si="66"/>
        <v>8</v>
      </c>
      <c r="C1609" s="73">
        <v>42590</v>
      </c>
      <c r="D1609" s="73" t="s">
        <v>78</v>
      </c>
      <c r="E1609" s="73">
        <v>42590</v>
      </c>
      <c r="F1609" s="76" t="s">
        <v>463</v>
      </c>
      <c r="G1609" s="265" t="s">
        <v>1502</v>
      </c>
      <c r="H1609" s="122" t="s">
        <v>299</v>
      </c>
      <c r="I1609" s="122"/>
      <c r="J1609" s="122"/>
      <c r="K1609" s="122"/>
      <c r="L1609" s="122"/>
      <c r="M1609" s="74">
        <v>2373637</v>
      </c>
      <c r="N1609" s="75" t="s">
        <v>19</v>
      </c>
      <c r="O1609" s="75" t="s">
        <v>18</v>
      </c>
      <c r="P1609" s="134" t="str">
        <f>IF(AND('331-CT'!$E$7=TH!H1609,OR(N1609="331",O1609="331")),"x","")</f>
        <v/>
      </c>
    </row>
    <row r="1610" spans="1:16" ht="18" hidden="1" customHeight="1">
      <c r="A1610" s="72">
        <f t="shared" si="65"/>
        <v>2016</v>
      </c>
      <c r="B1610" s="72">
        <f t="shared" si="66"/>
        <v>8</v>
      </c>
      <c r="C1610" s="73">
        <v>42590</v>
      </c>
      <c r="D1610" s="73" t="s">
        <v>78</v>
      </c>
      <c r="E1610" s="73">
        <v>42590</v>
      </c>
      <c r="F1610" s="76" t="s">
        <v>462</v>
      </c>
      <c r="G1610" s="265" t="s">
        <v>1503</v>
      </c>
      <c r="H1610" s="122" t="s">
        <v>299</v>
      </c>
      <c r="I1610" s="122"/>
      <c r="J1610" s="122"/>
      <c r="K1610" s="122"/>
      <c r="L1610" s="122"/>
      <c r="M1610" s="74">
        <v>918182</v>
      </c>
      <c r="N1610" s="75" t="s">
        <v>654</v>
      </c>
      <c r="O1610" s="75" t="s">
        <v>18</v>
      </c>
      <c r="P1610" s="134" t="str">
        <f>IF(AND('331-CT'!$E$7=TH!H1610,OR(N1610="331",O1610="331")),"x","")</f>
        <v/>
      </c>
    </row>
    <row r="1611" spans="1:16" ht="18" hidden="1" customHeight="1">
      <c r="A1611" s="72">
        <f t="shared" si="65"/>
        <v>2016</v>
      </c>
      <c r="B1611" s="72">
        <f t="shared" si="66"/>
        <v>8</v>
      </c>
      <c r="C1611" s="73">
        <v>42590</v>
      </c>
      <c r="D1611" s="73" t="s">
        <v>78</v>
      </c>
      <c r="E1611" s="73">
        <v>42590</v>
      </c>
      <c r="F1611" s="76" t="s">
        <v>463</v>
      </c>
      <c r="G1611" s="265" t="s">
        <v>1503</v>
      </c>
      <c r="H1611" s="122" t="s">
        <v>299</v>
      </c>
      <c r="I1611" s="122"/>
      <c r="J1611" s="122"/>
      <c r="K1611" s="122"/>
      <c r="L1611" s="122"/>
      <c r="M1611" s="74">
        <v>91818</v>
      </c>
      <c r="N1611" s="75" t="s">
        <v>19</v>
      </c>
      <c r="O1611" s="75" t="s">
        <v>18</v>
      </c>
      <c r="P1611" s="134" t="str">
        <f>IF(AND('331-CT'!$E$7=TH!H1611,OR(N1611="331",O1611="331")),"x","")</f>
        <v/>
      </c>
    </row>
    <row r="1612" spans="1:16" ht="18" hidden="1" customHeight="1">
      <c r="A1612" s="72">
        <f t="shared" si="65"/>
        <v>2016</v>
      </c>
      <c r="B1612" s="72">
        <f t="shared" si="66"/>
        <v>7</v>
      </c>
      <c r="C1612" s="73">
        <v>42562</v>
      </c>
      <c r="D1612" s="73" t="s">
        <v>21</v>
      </c>
      <c r="E1612" s="73">
        <v>42562</v>
      </c>
      <c r="F1612" s="76" t="s">
        <v>1464</v>
      </c>
      <c r="G1612" s="265" t="s">
        <v>1242</v>
      </c>
      <c r="H1612" s="122" t="s">
        <v>271</v>
      </c>
      <c r="I1612" s="122"/>
      <c r="J1612" s="122"/>
      <c r="K1612" s="122"/>
      <c r="L1612" s="122"/>
      <c r="M1612" s="74">
        <v>100000000</v>
      </c>
      <c r="N1612" s="75" t="s">
        <v>54</v>
      </c>
      <c r="O1612" s="75" t="s">
        <v>203</v>
      </c>
      <c r="P1612" s="134" t="str">
        <f>IF(AND('331-CT'!$E$7=TH!H1612,OR(N1612="331",O1612="331")),"x","")</f>
        <v/>
      </c>
    </row>
    <row r="1613" spans="1:16" ht="18" hidden="1" customHeight="1">
      <c r="A1613" s="72">
        <f t="shared" si="65"/>
        <v>2016</v>
      </c>
      <c r="B1613" s="72">
        <f t="shared" si="66"/>
        <v>7</v>
      </c>
      <c r="C1613" s="73">
        <v>42566</v>
      </c>
      <c r="D1613" s="73" t="s">
        <v>21</v>
      </c>
      <c r="E1613" s="73">
        <v>42566</v>
      </c>
      <c r="F1613" s="76" t="s">
        <v>1266</v>
      </c>
      <c r="G1613" s="265" t="s">
        <v>1242</v>
      </c>
      <c r="H1613" s="122" t="s">
        <v>1200</v>
      </c>
      <c r="I1613" s="122"/>
      <c r="J1613" s="122"/>
      <c r="K1613" s="122"/>
      <c r="L1613" s="122"/>
      <c r="M1613" s="74">
        <v>29000000</v>
      </c>
      <c r="N1613" s="75" t="s">
        <v>54</v>
      </c>
      <c r="O1613" s="75" t="s">
        <v>39</v>
      </c>
      <c r="P1613" s="134" t="str">
        <f>IF(AND('331-CT'!$E$7=TH!H1613,OR(N1613="331",O1613="331")),"x","")</f>
        <v/>
      </c>
    </row>
    <row r="1614" spans="1:16" ht="18" hidden="1" customHeight="1">
      <c r="A1614" s="72">
        <f t="shared" si="65"/>
        <v>2016</v>
      </c>
      <c r="B1614" s="72">
        <f t="shared" si="66"/>
        <v>7</v>
      </c>
      <c r="C1614" s="73">
        <v>42566</v>
      </c>
      <c r="D1614" s="73" t="s">
        <v>21</v>
      </c>
      <c r="E1614" s="73">
        <v>42566</v>
      </c>
      <c r="F1614" s="76" t="s">
        <v>1448</v>
      </c>
      <c r="G1614" s="265"/>
      <c r="H1614" s="122" t="s">
        <v>1200</v>
      </c>
      <c r="I1614" s="122"/>
      <c r="J1614" s="122"/>
      <c r="K1614" s="122"/>
      <c r="L1614" s="122"/>
      <c r="M1614" s="74">
        <v>29000000</v>
      </c>
      <c r="N1614" s="75" t="s">
        <v>39</v>
      </c>
      <c r="O1614" s="75" t="s">
        <v>203</v>
      </c>
      <c r="P1614" s="134" t="str">
        <f>IF(AND('331-CT'!$E$7=TH!H1614,OR(N1614="331",O1614="331")),"x","")</f>
        <v/>
      </c>
    </row>
    <row r="1615" spans="1:16" ht="18" hidden="1" customHeight="1">
      <c r="A1615" s="72">
        <f t="shared" si="65"/>
        <v>2016</v>
      </c>
      <c r="B1615" s="72">
        <f t="shared" si="66"/>
        <v>7</v>
      </c>
      <c r="C1615" s="73">
        <v>42573</v>
      </c>
      <c r="D1615" s="73" t="s">
        <v>21</v>
      </c>
      <c r="E1615" s="73">
        <v>42573</v>
      </c>
      <c r="F1615" s="76" t="s">
        <v>1266</v>
      </c>
      <c r="G1615" s="265" t="s">
        <v>1242</v>
      </c>
      <c r="H1615" s="122" t="s">
        <v>1200</v>
      </c>
      <c r="I1615" s="122"/>
      <c r="J1615" s="122"/>
      <c r="K1615" s="122"/>
      <c r="L1615" s="122"/>
      <c r="M1615" s="74">
        <v>160000000</v>
      </c>
      <c r="N1615" s="75" t="s">
        <v>54</v>
      </c>
      <c r="O1615" s="75" t="s">
        <v>39</v>
      </c>
      <c r="P1615" s="134" t="str">
        <f>IF(AND('331-CT'!$E$7=TH!H1615,OR(N1615="331",O1615="331")),"x","")</f>
        <v/>
      </c>
    </row>
    <row r="1616" spans="1:16" ht="18" hidden="1" customHeight="1">
      <c r="A1616" s="72">
        <f t="shared" si="65"/>
        <v>2016</v>
      </c>
      <c r="B1616" s="72">
        <f t="shared" si="66"/>
        <v>7</v>
      </c>
      <c r="C1616" s="73">
        <v>42573</v>
      </c>
      <c r="D1616" s="73" t="s">
        <v>21</v>
      </c>
      <c r="E1616" s="73">
        <v>42573</v>
      </c>
      <c r="F1616" s="76" t="s">
        <v>1448</v>
      </c>
      <c r="G1616" s="265"/>
      <c r="H1616" s="122" t="s">
        <v>1200</v>
      </c>
      <c r="I1616" s="122"/>
      <c r="J1616" s="122"/>
      <c r="K1616" s="122"/>
      <c r="L1616" s="122"/>
      <c r="M1616" s="74">
        <v>160000000</v>
      </c>
      <c r="N1616" s="75" t="s">
        <v>39</v>
      </c>
      <c r="O1616" s="75" t="s">
        <v>203</v>
      </c>
      <c r="P1616" s="134" t="str">
        <f>IF(AND('331-CT'!$E$7=TH!H1616,OR(N1616="331",O1616="331")),"x","")</f>
        <v/>
      </c>
    </row>
    <row r="1617" spans="1:16" ht="18" hidden="1" customHeight="1">
      <c r="A1617" s="72">
        <f t="shared" si="65"/>
        <v>2016</v>
      </c>
      <c r="B1617" s="72">
        <f t="shared" si="66"/>
        <v>7</v>
      </c>
      <c r="C1617" s="73">
        <v>42552</v>
      </c>
      <c r="D1617" s="73" t="s">
        <v>17</v>
      </c>
      <c r="E1617" s="73">
        <v>42552</v>
      </c>
      <c r="F1617" s="76" t="s">
        <v>1504</v>
      </c>
      <c r="G1617" s="265" t="s">
        <v>1242</v>
      </c>
      <c r="H1617" s="122"/>
      <c r="I1617" s="122"/>
      <c r="J1617" s="122"/>
      <c r="K1617" s="122"/>
      <c r="L1617" s="122"/>
      <c r="M1617" s="74">
        <v>100000</v>
      </c>
      <c r="N1617" s="75" t="s">
        <v>241</v>
      </c>
      <c r="O1617" s="75" t="s">
        <v>54</v>
      </c>
      <c r="P1617" s="134" t="str">
        <f>IF(AND('331-CT'!$E$7=TH!H1617,OR(N1617="331",O1617="331")),"x","")</f>
        <v/>
      </c>
    </row>
    <row r="1618" spans="1:16" ht="18" hidden="1" customHeight="1">
      <c r="A1618" s="72">
        <f t="shared" si="65"/>
        <v>2016</v>
      </c>
      <c r="B1618" s="72">
        <f t="shared" si="66"/>
        <v>7</v>
      </c>
      <c r="C1618" s="73">
        <v>42552</v>
      </c>
      <c r="D1618" s="73" t="s">
        <v>17</v>
      </c>
      <c r="E1618" s="73">
        <v>42552</v>
      </c>
      <c r="F1618" s="76" t="s">
        <v>1505</v>
      </c>
      <c r="G1618" s="265" t="s">
        <v>1242</v>
      </c>
      <c r="H1618" s="122"/>
      <c r="I1618" s="122"/>
      <c r="J1618" s="122"/>
      <c r="K1618" s="122"/>
      <c r="L1618" s="122"/>
      <c r="M1618" s="74">
        <v>10000</v>
      </c>
      <c r="N1618" s="75" t="s">
        <v>19</v>
      </c>
      <c r="O1618" s="75" t="s">
        <v>54</v>
      </c>
      <c r="P1618" s="134" t="str">
        <f>IF(AND('331-CT'!$E$7=TH!H1618,OR(N1618="331",O1618="331")),"x","")</f>
        <v/>
      </c>
    </row>
    <row r="1619" spans="1:16" ht="18" hidden="1" customHeight="1">
      <c r="A1619" s="72">
        <f t="shared" si="65"/>
        <v>2016</v>
      </c>
      <c r="B1619" s="72">
        <f t="shared" si="66"/>
        <v>7</v>
      </c>
      <c r="C1619" s="73">
        <v>42562</v>
      </c>
      <c r="D1619" s="73" t="s">
        <v>17</v>
      </c>
      <c r="E1619" s="73">
        <v>42562</v>
      </c>
      <c r="F1619" s="76" t="s">
        <v>1506</v>
      </c>
      <c r="G1619" s="265" t="s">
        <v>1242</v>
      </c>
      <c r="H1619" s="122" t="s">
        <v>86</v>
      </c>
      <c r="I1619" s="122"/>
      <c r="J1619" s="122"/>
      <c r="K1619" s="122"/>
      <c r="L1619" s="122"/>
      <c r="M1619" s="74">
        <v>100000000</v>
      </c>
      <c r="N1619" s="75" t="s">
        <v>18</v>
      </c>
      <c r="O1619" s="75" t="s">
        <v>54</v>
      </c>
      <c r="P1619" s="134" t="str">
        <f>IF(AND('331-CT'!$E$7=TH!H1619,OR(N1619="331",O1619="331")),"x","")</f>
        <v/>
      </c>
    </row>
    <row r="1620" spans="1:16" ht="18" hidden="1" customHeight="1">
      <c r="A1620" s="72">
        <f t="shared" si="65"/>
        <v>2016</v>
      </c>
      <c r="B1620" s="72">
        <f t="shared" si="66"/>
        <v>7</v>
      </c>
      <c r="C1620" s="73">
        <v>42562</v>
      </c>
      <c r="D1620" s="73" t="s">
        <v>17</v>
      </c>
      <c r="E1620" s="73">
        <v>42562</v>
      </c>
      <c r="F1620" s="76" t="s">
        <v>34</v>
      </c>
      <c r="G1620" s="265" t="s">
        <v>1242</v>
      </c>
      <c r="H1620" s="122"/>
      <c r="I1620" s="122"/>
      <c r="J1620" s="122"/>
      <c r="K1620" s="122"/>
      <c r="L1620" s="122"/>
      <c r="M1620" s="74">
        <v>79578</v>
      </c>
      <c r="N1620" s="75" t="s">
        <v>241</v>
      </c>
      <c r="O1620" s="75" t="s">
        <v>54</v>
      </c>
      <c r="P1620" s="134" t="str">
        <f>IF(AND('331-CT'!$E$7=TH!H1620,OR(N1620="331",O1620="331")),"x","")</f>
        <v/>
      </c>
    </row>
    <row r="1621" spans="1:16" ht="18" hidden="1" customHeight="1">
      <c r="A1621" s="72">
        <f t="shared" si="65"/>
        <v>2016</v>
      </c>
      <c r="B1621" s="72">
        <f t="shared" si="66"/>
        <v>7</v>
      </c>
      <c r="C1621" s="73">
        <v>42562</v>
      </c>
      <c r="D1621" s="73" t="s">
        <v>17</v>
      </c>
      <c r="E1621" s="73">
        <v>42562</v>
      </c>
      <c r="F1621" s="76" t="s">
        <v>35</v>
      </c>
      <c r="G1621" s="265" t="s">
        <v>1242</v>
      </c>
      <c r="H1621" s="122"/>
      <c r="I1621" s="122"/>
      <c r="J1621" s="122"/>
      <c r="K1621" s="122"/>
      <c r="L1621" s="122"/>
      <c r="M1621" s="74">
        <v>7958</v>
      </c>
      <c r="N1621" s="75" t="s">
        <v>19</v>
      </c>
      <c r="O1621" s="75" t="s">
        <v>54</v>
      </c>
      <c r="P1621" s="134" t="str">
        <f>IF(AND('331-CT'!$E$7=TH!H1621,OR(N1621="331",O1621="331")),"x","")</f>
        <v/>
      </c>
    </row>
    <row r="1622" spans="1:16" ht="18" hidden="1" customHeight="1">
      <c r="A1622" s="72">
        <f t="shared" si="65"/>
        <v>2016</v>
      </c>
      <c r="B1622" s="72">
        <f t="shared" si="66"/>
        <v>7</v>
      </c>
      <c r="C1622" s="73">
        <v>42566</v>
      </c>
      <c r="D1622" s="73" t="s">
        <v>17</v>
      </c>
      <c r="E1622" s="73">
        <v>42566</v>
      </c>
      <c r="F1622" s="76" t="s">
        <v>1507</v>
      </c>
      <c r="G1622" s="265" t="s">
        <v>1242</v>
      </c>
      <c r="H1622" s="122" t="s">
        <v>1484</v>
      </c>
      <c r="I1622" s="122"/>
      <c r="J1622" s="122"/>
      <c r="K1622" s="122"/>
      <c r="L1622" s="122"/>
      <c r="M1622" s="74">
        <v>28700000</v>
      </c>
      <c r="N1622" s="75" t="s">
        <v>18</v>
      </c>
      <c r="O1622" s="75" t="s">
        <v>54</v>
      </c>
      <c r="P1622" s="134" t="str">
        <f>IF(AND('331-CT'!$E$7=TH!H1622,OR(N1622="331",O1622="331")),"x","")</f>
        <v/>
      </c>
    </row>
    <row r="1623" spans="1:16" ht="18" hidden="1" customHeight="1">
      <c r="A1623" s="72">
        <f t="shared" si="65"/>
        <v>2016</v>
      </c>
      <c r="B1623" s="72">
        <f t="shared" si="66"/>
        <v>7</v>
      </c>
      <c r="C1623" s="73">
        <v>42566</v>
      </c>
      <c r="D1623" s="73" t="s">
        <v>17</v>
      </c>
      <c r="E1623" s="73">
        <v>42566</v>
      </c>
      <c r="F1623" s="76" t="s">
        <v>34</v>
      </c>
      <c r="G1623" s="265" t="s">
        <v>1242</v>
      </c>
      <c r="H1623" s="122"/>
      <c r="I1623" s="122"/>
      <c r="J1623" s="122"/>
      <c r="K1623" s="122"/>
      <c r="L1623" s="122"/>
      <c r="M1623" s="74">
        <v>25000</v>
      </c>
      <c r="N1623" s="75" t="s">
        <v>241</v>
      </c>
      <c r="O1623" s="75" t="s">
        <v>54</v>
      </c>
      <c r="P1623" s="134" t="str">
        <f>IF(AND('331-CT'!$E$7=TH!H1623,OR(N1623="331",O1623="331")),"x","")</f>
        <v/>
      </c>
    </row>
    <row r="1624" spans="1:16" ht="18" hidden="1" customHeight="1">
      <c r="A1624" s="72">
        <f t="shared" si="65"/>
        <v>2016</v>
      </c>
      <c r="B1624" s="72">
        <f t="shared" si="66"/>
        <v>7</v>
      </c>
      <c r="C1624" s="73">
        <v>42566</v>
      </c>
      <c r="D1624" s="73" t="s">
        <v>17</v>
      </c>
      <c r="E1624" s="73">
        <v>42566</v>
      </c>
      <c r="F1624" s="76" t="s">
        <v>35</v>
      </c>
      <c r="G1624" s="265" t="s">
        <v>1242</v>
      </c>
      <c r="H1624" s="122"/>
      <c r="I1624" s="122"/>
      <c r="J1624" s="122"/>
      <c r="K1624" s="122"/>
      <c r="L1624" s="122"/>
      <c r="M1624" s="74">
        <v>2500</v>
      </c>
      <c r="N1624" s="75" t="s">
        <v>19</v>
      </c>
      <c r="O1624" s="75" t="s">
        <v>54</v>
      </c>
      <c r="P1624" s="134" t="str">
        <f>IF(AND('331-CT'!$E$7=TH!H1624,OR(N1624="331",O1624="331")),"x","")</f>
        <v/>
      </c>
    </row>
    <row r="1625" spans="1:16" ht="18" hidden="1" customHeight="1">
      <c r="A1625" s="72">
        <f t="shared" si="65"/>
        <v>2016</v>
      </c>
      <c r="B1625" s="72">
        <f t="shared" si="66"/>
        <v>7</v>
      </c>
      <c r="C1625" s="73">
        <v>42573</v>
      </c>
      <c r="D1625" s="73" t="s">
        <v>17</v>
      </c>
      <c r="E1625" s="73">
        <v>42573</v>
      </c>
      <c r="F1625" s="76" t="s">
        <v>1194</v>
      </c>
      <c r="G1625" s="265" t="s">
        <v>1242</v>
      </c>
      <c r="H1625" s="122" t="s">
        <v>313</v>
      </c>
      <c r="I1625" s="122"/>
      <c r="J1625" s="122"/>
      <c r="K1625" s="122"/>
      <c r="L1625" s="122"/>
      <c r="M1625" s="74">
        <v>7926068</v>
      </c>
      <c r="N1625" s="75" t="s">
        <v>239</v>
      </c>
      <c r="O1625" s="75" t="s">
        <v>54</v>
      </c>
      <c r="P1625" s="134" t="str">
        <f>IF(AND('331-CT'!$E$7=TH!H1625,OR(N1625="331",O1625="331")),"x","")</f>
        <v/>
      </c>
    </row>
    <row r="1626" spans="1:16" ht="18" hidden="1" customHeight="1">
      <c r="A1626" s="72">
        <f t="shared" si="65"/>
        <v>2016</v>
      </c>
      <c r="B1626" s="72">
        <f t="shared" si="66"/>
        <v>7</v>
      </c>
      <c r="C1626" s="73">
        <v>42573</v>
      </c>
      <c r="D1626" s="73" t="s">
        <v>17</v>
      </c>
      <c r="E1626" s="73">
        <v>42573</v>
      </c>
      <c r="F1626" s="76" t="s">
        <v>1194</v>
      </c>
      <c r="G1626" s="265" t="s">
        <v>1242</v>
      </c>
      <c r="H1626" s="122" t="s">
        <v>314</v>
      </c>
      <c r="I1626" s="122"/>
      <c r="J1626" s="122"/>
      <c r="K1626" s="122"/>
      <c r="L1626" s="122"/>
      <c r="M1626" s="74">
        <v>15852135</v>
      </c>
      <c r="N1626" s="75" t="s">
        <v>239</v>
      </c>
      <c r="O1626" s="75" t="s">
        <v>54</v>
      </c>
      <c r="P1626" s="134" t="str">
        <f>IF(AND('331-CT'!$E$7=TH!H1626,OR(N1626="331",O1626="331")),"x","")</f>
        <v/>
      </c>
    </row>
    <row r="1627" spans="1:16" ht="18" hidden="1" customHeight="1">
      <c r="A1627" s="72">
        <f t="shared" si="65"/>
        <v>2016</v>
      </c>
      <c r="B1627" s="72">
        <f t="shared" si="66"/>
        <v>7</v>
      </c>
      <c r="C1627" s="73">
        <v>42573</v>
      </c>
      <c r="D1627" s="73" t="s">
        <v>17</v>
      </c>
      <c r="E1627" s="73">
        <v>42573</v>
      </c>
      <c r="F1627" s="76" t="s">
        <v>1194</v>
      </c>
      <c r="G1627" s="265" t="s">
        <v>1242</v>
      </c>
      <c r="H1627" s="122" t="s">
        <v>316</v>
      </c>
      <c r="I1627" s="122"/>
      <c r="J1627" s="122"/>
      <c r="K1627" s="122"/>
      <c r="L1627" s="122"/>
      <c r="M1627" s="74">
        <v>12681709</v>
      </c>
      <c r="N1627" s="75" t="s">
        <v>239</v>
      </c>
      <c r="O1627" s="75" t="s">
        <v>54</v>
      </c>
      <c r="P1627" s="134" t="str">
        <f>IF(AND('331-CT'!$E$7=TH!H1627,OR(N1627="331",O1627="331")),"x","")</f>
        <v/>
      </c>
    </row>
    <row r="1628" spans="1:16" ht="18" hidden="1" customHeight="1">
      <c r="A1628" s="72">
        <f t="shared" si="65"/>
        <v>2016</v>
      </c>
      <c r="B1628" s="72">
        <f t="shared" si="66"/>
        <v>7</v>
      </c>
      <c r="C1628" s="73">
        <v>42573</v>
      </c>
      <c r="D1628" s="73" t="s">
        <v>17</v>
      </c>
      <c r="E1628" s="73">
        <v>42573</v>
      </c>
      <c r="F1628" s="76" t="s">
        <v>1194</v>
      </c>
      <c r="G1628" s="265" t="s">
        <v>1242</v>
      </c>
      <c r="H1628" s="122" t="s">
        <v>315</v>
      </c>
      <c r="I1628" s="122"/>
      <c r="J1628" s="122"/>
      <c r="K1628" s="122"/>
      <c r="L1628" s="122"/>
      <c r="M1628" s="74">
        <v>11889102</v>
      </c>
      <c r="N1628" s="75" t="s">
        <v>239</v>
      </c>
      <c r="O1628" s="75" t="s">
        <v>54</v>
      </c>
      <c r="P1628" s="134" t="str">
        <f>IF(AND('331-CT'!$E$7=TH!H1628,OR(N1628="331",O1628="331")),"x","")</f>
        <v/>
      </c>
    </row>
    <row r="1629" spans="1:16" ht="18" hidden="1" customHeight="1">
      <c r="A1629" s="72">
        <f t="shared" si="65"/>
        <v>2016</v>
      </c>
      <c r="B1629" s="72">
        <f t="shared" si="66"/>
        <v>7</v>
      </c>
      <c r="C1629" s="73">
        <v>42573</v>
      </c>
      <c r="D1629" s="73" t="s">
        <v>17</v>
      </c>
      <c r="E1629" s="73">
        <v>42573</v>
      </c>
      <c r="F1629" s="76" t="s">
        <v>1194</v>
      </c>
      <c r="G1629" s="265" t="s">
        <v>1242</v>
      </c>
      <c r="H1629" s="122" t="s">
        <v>317</v>
      </c>
      <c r="I1629" s="122"/>
      <c r="J1629" s="122"/>
      <c r="K1629" s="122"/>
      <c r="L1629" s="122"/>
      <c r="M1629" s="74">
        <v>7926068</v>
      </c>
      <c r="N1629" s="75" t="s">
        <v>239</v>
      </c>
      <c r="O1629" s="75" t="s">
        <v>54</v>
      </c>
      <c r="P1629" s="134" t="str">
        <f>IF(AND('331-CT'!$E$7=TH!H1629,OR(N1629="331",O1629="331")),"x","")</f>
        <v/>
      </c>
    </row>
    <row r="1630" spans="1:16" ht="18" hidden="1" customHeight="1">
      <c r="A1630" s="72">
        <f t="shared" si="65"/>
        <v>2016</v>
      </c>
      <c r="B1630" s="72">
        <f t="shared" si="66"/>
        <v>7</v>
      </c>
      <c r="C1630" s="73">
        <v>42573</v>
      </c>
      <c r="D1630" s="73" t="s">
        <v>17</v>
      </c>
      <c r="E1630" s="73">
        <v>42573</v>
      </c>
      <c r="F1630" s="76" t="s">
        <v>1194</v>
      </c>
      <c r="G1630" s="265" t="s">
        <v>1242</v>
      </c>
      <c r="H1630" s="122" t="s">
        <v>318</v>
      </c>
      <c r="I1630" s="122"/>
      <c r="J1630" s="122"/>
      <c r="K1630" s="122"/>
      <c r="L1630" s="122"/>
      <c r="M1630" s="74">
        <v>11889102</v>
      </c>
      <c r="N1630" s="75" t="s">
        <v>239</v>
      </c>
      <c r="O1630" s="75" t="s">
        <v>54</v>
      </c>
      <c r="P1630" s="134" t="str">
        <f>IF(AND('331-CT'!$E$7=TH!H1630,OR(N1630="331",O1630="331")),"x","")</f>
        <v/>
      </c>
    </row>
    <row r="1631" spans="1:16" ht="18" hidden="1" customHeight="1">
      <c r="A1631" s="72">
        <f t="shared" si="65"/>
        <v>2016</v>
      </c>
      <c r="B1631" s="72">
        <f t="shared" si="66"/>
        <v>7</v>
      </c>
      <c r="C1631" s="73">
        <v>42573</v>
      </c>
      <c r="D1631" s="73" t="s">
        <v>17</v>
      </c>
      <c r="E1631" s="73">
        <v>42573</v>
      </c>
      <c r="F1631" s="76" t="s">
        <v>1194</v>
      </c>
      <c r="G1631" s="265" t="s">
        <v>1242</v>
      </c>
      <c r="H1631" s="122" t="s">
        <v>319</v>
      </c>
      <c r="I1631" s="122"/>
      <c r="J1631" s="122"/>
      <c r="K1631" s="122"/>
      <c r="L1631" s="122"/>
      <c r="M1631" s="74">
        <v>15852135</v>
      </c>
      <c r="N1631" s="75" t="s">
        <v>239</v>
      </c>
      <c r="O1631" s="75" t="s">
        <v>54</v>
      </c>
      <c r="P1631" s="134" t="str">
        <f>IF(AND('331-CT'!$E$7=TH!H1631,OR(N1631="331",O1631="331")),"x","")</f>
        <v/>
      </c>
    </row>
    <row r="1632" spans="1:16" ht="18" hidden="1" customHeight="1">
      <c r="A1632" s="72">
        <f t="shared" si="65"/>
        <v>2016</v>
      </c>
      <c r="B1632" s="72">
        <f t="shared" si="66"/>
        <v>7</v>
      </c>
      <c r="C1632" s="73">
        <v>42573</v>
      </c>
      <c r="D1632" s="73" t="s">
        <v>17</v>
      </c>
      <c r="E1632" s="73">
        <v>42573</v>
      </c>
      <c r="F1632" s="76" t="s">
        <v>1194</v>
      </c>
      <c r="G1632" s="265" t="s">
        <v>1242</v>
      </c>
      <c r="H1632" s="122" t="s">
        <v>320</v>
      </c>
      <c r="I1632" s="122"/>
      <c r="J1632" s="122"/>
      <c r="K1632" s="122"/>
      <c r="L1632" s="122"/>
      <c r="M1632" s="74">
        <v>11096494</v>
      </c>
      <c r="N1632" s="75" t="s">
        <v>239</v>
      </c>
      <c r="O1632" s="75" t="s">
        <v>54</v>
      </c>
      <c r="P1632" s="134" t="str">
        <f>IF(AND('331-CT'!$E$7=TH!H1632,OR(N1632="331",O1632="331")),"x","")</f>
        <v/>
      </c>
    </row>
    <row r="1633" spans="1:16" ht="18" hidden="1" customHeight="1">
      <c r="A1633" s="72">
        <f t="shared" si="65"/>
        <v>2016</v>
      </c>
      <c r="B1633" s="72">
        <f t="shared" si="66"/>
        <v>7</v>
      </c>
      <c r="C1633" s="73">
        <v>42573</v>
      </c>
      <c r="D1633" s="73" t="s">
        <v>17</v>
      </c>
      <c r="E1633" s="73">
        <v>42573</v>
      </c>
      <c r="F1633" s="76" t="s">
        <v>1194</v>
      </c>
      <c r="G1633" s="265" t="s">
        <v>1242</v>
      </c>
      <c r="H1633" s="122" t="s">
        <v>321</v>
      </c>
      <c r="I1633" s="122"/>
      <c r="J1633" s="122"/>
      <c r="K1633" s="122"/>
      <c r="L1633" s="122"/>
      <c r="M1633" s="74">
        <v>11889102</v>
      </c>
      <c r="N1633" s="75" t="s">
        <v>239</v>
      </c>
      <c r="O1633" s="75" t="s">
        <v>54</v>
      </c>
      <c r="P1633" s="134" t="str">
        <f>IF(AND('331-CT'!$E$7=TH!H1633,OR(N1633="331",O1633="331")),"x","")</f>
        <v/>
      </c>
    </row>
    <row r="1634" spans="1:16" ht="18" hidden="1" customHeight="1">
      <c r="A1634" s="72">
        <f t="shared" si="65"/>
        <v>2016</v>
      </c>
      <c r="B1634" s="72">
        <f t="shared" si="66"/>
        <v>7</v>
      </c>
      <c r="C1634" s="73">
        <v>42573</v>
      </c>
      <c r="D1634" s="73" t="s">
        <v>17</v>
      </c>
      <c r="E1634" s="73">
        <v>42573</v>
      </c>
      <c r="F1634" s="76" t="s">
        <v>1194</v>
      </c>
      <c r="G1634" s="265" t="s">
        <v>1242</v>
      </c>
      <c r="H1634" s="122" t="s">
        <v>323</v>
      </c>
      <c r="I1634" s="122"/>
      <c r="J1634" s="122"/>
      <c r="K1634" s="122"/>
      <c r="L1634" s="122"/>
      <c r="M1634" s="74">
        <v>11889102</v>
      </c>
      <c r="N1634" s="75" t="s">
        <v>239</v>
      </c>
      <c r="O1634" s="75" t="s">
        <v>54</v>
      </c>
      <c r="P1634" s="134" t="str">
        <f>IF(AND('331-CT'!$E$7=TH!H1634,OR(N1634="331",O1634="331")),"x","")</f>
        <v/>
      </c>
    </row>
    <row r="1635" spans="1:16" ht="18" hidden="1" customHeight="1">
      <c r="A1635" s="72">
        <f t="shared" si="65"/>
        <v>2016</v>
      </c>
      <c r="B1635" s="72">
        <f t="shared" si="66"/>
        <v>7</v>
      </c>
      <c r="C1635" s="73">
        <v>42573</v>
      </c>
      <c r="D1635" s="73" t="s">
        <v>17</v>
      </c>
      <c r="E1635" s="73">
        <v>42573</v>
      </c>
      <c r="F1635" s="76" t="s">
        <v>1194</v>
      </c>
      <c r="G1635" s="265" t="s">
        <v>1242</v>
      </c>
      <c r="H1635" s="122" t="s">
        <v>325</v>
      </c>
      <c r="I1635" s="122"/>
      <c r="J1635" s="122"/>
      <c r="K1635" s="122"/>
      <c r="L1635" s="122"/>
      <c r="M1635" s="74">
        <v>11889102</v>
      </c>
      <c r="N1635" s="75" t="s">
        <v>239</v>
      </c>
      <c r="O1635" s="75" t="s">
        <v>54</v>
      </c>
      <c r="P1635" s="134" t="str">
        <f>IF(AND('331-CT'!$E$7=TH!H1635,OR(N1635="331",O1635="331")),"x","")</f>
        <v/>
      </c>
    </row>
    <row r="1636" spans="1:16" ht="18" hidden="1" customHeight="1">
      <c r="A1636" s="72">
        <f t="shared" si="65"/>
        <v>2016</v>
      </c>
      <c r="B1636" s="72">
        <f t="shared" si="66"/>
        <v>7</v>
      </c>
      <c r="C1636" s="73">
        <v>42573</v>
      </c>
      <c r="D1636" s="73" t="s">
        <v>17</v>
      </c>
      <c r="E1636" s="73">
        <v>42573</v>
      </c>
      <c r="F1636" s="76" t="s">
        <v>1194</v>
      </c>
      <c r="G1636" s="265" t="s">
        <v>1242</v>
      </c>
      <c r="H1636" s="122" t="s">
        <v>416</v>
      </c>
      <c r="I1636" s="122"/>
      <c r="J1636" s="122"/>
      <c r="K1636" s="122"/>
      <c r="L1636" s="122"/>
      <c r="M1636" s="74">
        <v>11889102</v>
      </c>
      <c r="N1636" s="75" t="s">
        <v>239</v>
      </c>
      <c r="O1636" s="75" t="s">
        <v>54</v>
      </c>
      <c r="P1636" s="134" t="str">
        <f>IF(AND('331-CT'!$E$7=TH!H1636,OR(N1636="331",O1636="331")),"x","")</f>
        <v/>
      </c>
    </row>
    <row r="1637" spans="1:16" ht="18" hidden="1" customHeight="1">
      <c r="A1637" s="72">
        <f t="shared" si="65"/>
        <v>2016</v>
      </c>
      <c r="B1637" s="72">
        <f t="shared" si="66"/>
        <v>7</v>
      </c>
      <c r="C1637" s="73">
        <v>42573</v>
      </c>
      <c r="D1637" s="73" t="s">
        <v>17</v>
      </c>
      <c r="E1637" s="73">
        <v>42573</v>
      </c>
      <c r="F1637" s="76" t="s">
        <v>1194</v>
      </c>
      <c r="G1637" s="265" t="s">
        <v>1242</v>
      </c>
      <c r="H1637" s="122" t="s">
        <v>421</v>
      </c>
      <c r="I1637" s="122"/>
      <c r="J1637" s="122"/>
      <c r="K1637" s="122"/>
      <c r="L1637" s="122"/>
      <c r="M1637" s="74">
        <v>7926068</v>
      </c>
      <c r="N1637" s="75" t="s">
        <v>239</v>
      </c>
      <c r="O1637" s="75" t="s">
        <v>54</v>
      </c>
      <c r="P1637" s="134" t="str">
        <f>IF(AND('331-CT'!$E$7=TH!H1637,OR(N1637="331",O1637="331")),"x","")</f>
        <v/>
      </c>
    </row>
    <row r="1638" spans="1:16" ht="18" hidden="1" customHeight="1">
      <c r="A1638" s="72">
        <f t="shared" si="65"/>
        <v>2016</v>
      </c>
      <c r="B1638" s="72">
        <f t="shared" si="66"/>
        <v>7</v>
      </c>
      <c r="C1638" s="73">
        <v>42573</v>
      </c>
      <c r="D1638" s="73" t="s">
        <v>17</v>
      </c>
      <c r="E1638" s="73">
        <v>42573</v>
      </c>
      <c r="F1638" s="76" t="s">
        <v>1194</v>
      </c>
      <c r="G1638" s="265" t="s">
        <v>1242</v>
      </c>
      <c r="H1638" s="122" t="s">
        <v>455</v>
      </c>
      <c r="I1638" s="122"/>
      <c r="J1638" s="122"/>
      <c r="K1638" s="122"/>
      <c r="L1638" s="122"/>
      <c r="M1638" s="74">
        <v>7926068</v>
      </c>
      <c r="N1638" s="75" t="s">
        <v>239</v>
      </c>
      <c r="O1638" s="75" t="s">
        <v>54</v>
      </c>
      <c r="P1638" s="134" t="str">
        <f>IF(AND('331-CT'!$E$7=TH!H1638,OR(N1638="331",O1638="331")),"x","")</f>
        <v/>
      </c>
    </row>
    <row r="1639" spans="1:16" ht="18" hidden="1" customHeight="1">
      <c r="A1639" s="72">
        <f t="shared" si="65"/>
        <v>2016</v>
      </c>
      <c r="B1639" s="72">
        <f t="shared" si="66"/>
        <v>7</v>
      </c>
      <c r="C1639" s="73">
        <v>42580</v>
      </c>
      <c r="D1639" s="73" t="s">
        <v>21</v>
      </c>
      <c r="E1639" s="73">
        <v>42580</v>
      </c>
      <c r="F1639" s="76" t="s">
        <v>1464</v>
      </c>
      <c r="G1639" s="265" t="s">
        <v>1242</v>
      </c>
      <c r="H1639" s="122" t="s">
        <v>271</v>
      </c>
      <c r="I1639" s="122"/>
      <c r="J1639" s="122"/>
      <c r="K1639" s="122"/>
      <c r="L1639" s="122"/>
      <c r="M1639" s="74">
        <v>53000000</v>
      </c>
      <c r="N1639" s="75" t="s">
        <v>54</v>
      </c>
      <c r="O1639" s="75" t="s">
        <v>203</v>
      </c>
      <c r="P1639" s="134" t="str">
        <f>IF(AND('331-CT'!$E$7=TH!H1639,OR(N1639="331",O1639="331")),"x","")</f>
        <v/>
      </c>
    </row>
    <row r="1640" spans="1:16" ht="18" hidden="1" customHeight="1">
      <c r="A1640" s="72">
        <f t="shared" si="65"/>
        <v>2016</v>
      </c>
      <c r="B1640" s="72">
        <f t="shared" si="66"/>
        <v>8</v>
      </c>
      <c r="C1640" s="73">
        <v>42586</v>
      </c>
      <c r="D1640" s="73" t="s">
        <v>21</v>
      </c>
      <c r="E1640" s="73">
        <v>42586</v>
      </c>
      <c r="F1640" s="76" t="s">
        <v>1266</v>
      </c>
      <c r="G1640" s="265" t="s">
        <v>1242</v>
      </c>
      <c r="H1640" s="122" t="s">
        <v>1200</v>
      </c>
      <c r="I1640" s="122"/>
      <c r="J1640" s="122"/>
      <c r="K1640" s="122"/>
      <c r="L1640" s="122"/>
      <c r="M1640" s="74">
        <v>61000000</v>
      </c>
      <c r="N1640" s="75" t="s">
        <v>54</v>
      </c>
      <c r="O1640" s="75" t="s">
        <v>39</v>
      </c>
      <c r="P1640" s="134" t="str">
        <f>IF(AND('331-CT'!$E$7=TH!H1640,OR(N1640="331",O1640="331")),"x","")</f>
        <v/>
      </c>
    </row>
    <row r="1641" spans="1:16" ht="18" hidden="1" customHeight="1">
      <c r="A1641" s="72">
        <f t="shared" si="65"/>
        <v>2016</v>
      </c>
      <c r="B1641" s="72">
        <f t="shared" si="66"/>
        <v>8</v>
      </c>
      <c r="C1641" s="73">
        <v>42586</v>
      </c>
      <c r="D1641" s="73" t="s">
        <v>21</v>
      </c>
      <c r="E1641" s="73">
        <v>42586</v>
      </c>
      <c r="F1641" s="76" t="s">
        <v>1448</v>
      </c>
      <c r="G1641" s="265"/>
      <c r="H1641" s="122" t="s">
        <v>1200</v>
      </c>
      <c r="I1641" s="122"/>
      <c r="J1641" s="122"/>
      <c r="K1641" s="122"/>
      <c r="L1641" s="122"/>
      <c r="M1641" s="74">
        <v>61000000</v>
      </c>
      <c r="N1641" s="75" t="s">
        <v>39</v>
      </c>
      <c r="O1641" s="75" t="s">
        <v>203</v>
      </c>
      <c r="P1641" s="134" t="str">
        <f>IF(AND('331-CT'!$E$7=TH!H1641,OR(N1641="331",O1641="331")),"x","")</f>
        <v/>
      </c>
    </row>
    <row r="1642" spans="1:16" ht="18" hidden="1" customHeight="1">
      <c r="A1642" s="72">
        <f t="shared" si="65"/>
        <v>2016</v>
      </c>
      <c r="B1642" s="72">
        <f t="shared" si="66"/>
        <v>8</v>
      </c>
      <c r="C1642" s="73">
        <v>42590</v>
      </c>
      <c r="D1642" s="73" t="s">
        <v>21</v>
      </c>
      <c r="E1642" s="73">
        <v>42590</v>
      </c>
      <c r="F1642" s="76" t="s">
        <v>1440</v>
      </c>
      <c r="G1642" s="265" t="s">
        <v>1242</v>
      </c>
      <c r="H1642" s="122" t="s">
        <v>519</v>
      </c>
      <c r="I1642" s="122"/>
      <c r="J1642" s="122"/>
      <c r="K1642" s="122"/>
      <c r="L1642" s="122"/>
      <c r="M1642" s="74">
        <v>1219554047</v>
      </c>
      <c r="N1642" s="75" t="s">
        <v>54</v>
      </c>
      <c r="O1642" s="75" t="s">
        <v>212</v>
      </c>
      <c r="P1642" s="134" t="str">
        <f>IF(AND('331-CT'!$E$7=TH!H1642,OR(N1642="331",O1642="331")),"x","")</f>
        <v/>
      </c>
    </row>
    <row r="1643" spans="1:16" ht="18" hidden="1" customHeight="1">
      <c r="A1643" s="72">
        <f t="shared" si="65"/>
        <v>2016</v>
      </c>
      <c r="B1643" s="72">
        <f t="shared" si="66"/>
        <v>8</v>
      </c>
      <c r="C1643" s="73">
        <v>42594</v>
      </c>
      <c r="D1643" s="73" t="s">
        <v>21</v>
      </c>
      <c r="E1643" s="73">
        <v>42594</v>
      </c>
      <c r="F1643" s="76" t="s">
        <v>1508</v>
      </c>
      <c r="G1643" s="265" t="s">
        <v>1242</v>
      </c>
      <c r="H1643" s="122" t="s">
        <v>299</v>
      </c>
      <c r="I1643" s="122"/>
      <c r="J1643" s="122"/>
      <c r="K1643" s="122"/>
      <c r="L1643" s="122"/>
      <c r="M1643" s="74">
        <v>64502276</v>
      </c>
      <c r="N1643" s="75" t="s">
        <v>54</v>
      </c>
      <c r="O1643" s="75" t="s">
        <v>212</v>
      </c>
      <c r="P1643" s="134" t="str">
        <f>IF(AND('331-CT'!$E$7=TH!H1643,OR(N1643="331",O1643="331")),"x","")</f>
        <v/>
      </c>
    </row>
    <row r="1644" spans="1:16" ht="18" hidden="1" customHeight="1">
      <c r="A1644" s="72">
        <f t="shared" si="65"/>
        <v>2016</v>
      </c>
      <c r="B1644" s="72">
        <f t="shared" si="66"/>
        <v>7</v>
      </c>
      <c r="C1644" s="73">
        <v>42580</v>
      </c>
      <c r="D1644" s="73" t="s">
        <v>17</v>
      </c>
      <c r="E1644" s="73">
        <v>42580</v>
      </c>
      <c r="F1644" s="76" t="s">
        <v>1509</v>
      </c>
      <c r="G1644" s="265" t="s">
        <v>1242</v>
      </c>
      <c r="H1644" s="122" t="s">
        <v>648</v>
      </c>
      <c r="I1644" s="122"/>
      <c r="J1644" s="122"/>
      <c r="K1644" s="122"/>
      <c r="L1644" s="122"/>
      <c r="M1644" s="74">
        <v>53135390</v>
      </c>
      <c r="N1644" s="75" t="s">
        <v>18</v>
      </c>
      <c r="O1644" s="75" t="s">
        <v>54</v>
      </c>
      <c r="P1644" s="134" t="str">
        <f>IF(AND('331-CT'!$E$7=TH!H1644,OR(N1644="331",O1644="331")),"x","")</f>
        <v/>
      </c>
    </row>
    <row r="1645" spans="1:16" ht="18" hidden="1" customHeight="1">
      <c r="A1645" s="72">
        <f t="shared" si="65"/>
        <v>2016</v>
      </c>
      <c r="B1645" s="72">
        <f t="shared" si="66"/>
        <v>7</v>
      </c>
      <c r="C1645" s="73">
        <v>42580</v>
      </c>
      <c r="D1645" s="73" t="s">
        <v>17</v>
      </c>
      <c r="E1645" s="73">
        <v>42580</v>
      </c>
      <c r="F1645" s="76" t="s">
        <v>34</v>
      </c>
      <c r="G1645" s="265" t="s">
        <v>1242</v>
      </c>
      <c r="H1645" s="122"/>
      <c r="I1645" s="122"/>
      <c r="J1645" s="122"/>
      <c r="K1645" s="122"/>
      <c r="L1645" s="122"/>
      <c r="M1645" s="74">
        <v>46568</v>
      </c>
      <c r="N1645" s="75" t="s">
        <v>241</v>
      </c>
      <c r="O1645" s="75" t="s">
        <v>54</v>
      </c>
      <c r="P1645" s="134" t="str">
        <f>IF(AND('331-CT'!$E$7=TH!H1645,OR(N1645="331",O1645="331")),"x","")</f>
        <v/>
      </c>
    </row>
    <row r="1646" spans="1:16" ht="18" hidden="1" customHeight="1">
      <c r="A1646" s="72">
        <f t="shared" si="65"/>
        <v>2016</v>
      </c>
      <c r="B1646" s="72">
        <f t="shared" si="66"/>
        <v>7</v>
      </c>
      <c r="C1646" s="73">
        <v>42580</v>
      </c>
      <c r="D1646" s="73" t="s">
        <v>17</v>
      </c>
      <c r="E1646" s="73">
        <v>42580</v>
      </c>
      <c r="F1646" s="76" t="s">
        <v>35</v>
      </c>
      <c r="G1646" s="265" t="s">
        <v>1242</v>
      </c>
      <c r="H1646" s="122"/>
      <c r="I1646" s="122"/>
      <c r="J1646" s="122"/>
      <c r="K1646" s="122"/>
      <c r="L1646" s="122"/>
      <c r="M1646" s="74">
        <v>4657</v>
      </c>
      <c r="N1646" s="75" t="s">
        <v>19</v>
      </c>
      <c r="O1646" s="75" t="s">
        <v>54</v>
      </c>
      <c r="P1646" s="134" t="str">
        <f>IF(AND('331-CT'!$E$7=TH!H1646,OR(N1646="331",O1646="331")),"x","")</f>
        <v/>
      </c>
    </row>
    <row r="1647" spans="1:16" ht="18" hidden="1" customHeight="1">
      <c r="A1647" s="72">
        <f t="shared" si="65"/>
        <v>2016</v>
      </c>
      <c r="B1647" s="72">
        <f t="shared" si="66"/>
        <v>8</v>
      </c>
      <c r="C1647" s="73">
        <v>42586</v>
      </c>
      <c r="D1647" s="73" t="s">
        <v>17</v>
      </c>
      <c r="E1647" s="73">
        <v>42586</v>
      </c>
      <c r="F1647" s="76" t="s">
        <v>1510</v>
      </c>
      <c r="G1647" s="265" t="s">
        <v>1242</v>
      </c>
      <c r="H1647" s="122" t="s">
        <v>1260</v>
      </c>
      <c r="I1647" s="122"/>
      <c r="J1647" s="122"/>
      <c r="K1647" s="122"/>
      <c r="L1647" s="122"/>
      <c r="M1647" s="74">
        <v>40920000</v>
      </c>
      <c r="N1647" s="75" t="s">
        <v>18</v>
      </c>
      <c r="O1647" s="75" t="s">
        <v>54</v>
      </c>
      <c r="P1647" s="134" t="str">
        <f>IF(AND('331-CT'!$E$7=TH!H1647,OR(N1647="331",O1647="331")),"x","")</f>
        <v/>
      </c>
    </row>
    <row r="1648" spans="1:16" ht="18" hidden="1" customHeight="1">
      <c r="A1648" s="72">
        <f t="shared" si="65"/>
        <v>2016</v>
      </c>
      <c r="B1648" s="72">
        <f t="shared" si="66"/>
        <v>8</v>
      </c>
      <c r="C1648" s="73">
        <v>42586</v>
      </c>
      <c r="D1648" s="73" t="s">
        <v>17</v>
      </c>
      <c r="E1648" s="73">
        <v>42586</v>
      </c>
      <c r="F1648" s="76" t="s">
        <v>34</v>
      </c>
      <c r="G1648" s="265" t="s">
        <v>1242</v>
      </c>
      <c r="H1648" s="122"/>
      <c r="I1648" s="122"/>
      <c r="J1648" s="122"/>
      <c r="K1648" s="122"/>
      <c r="L1648" s="122"/>
      <c r="M1648" s="74">
        <v>25000</v>
      </c>
      <c r="N1648" s="75" t="s">
        <v>241</v>
      </c>
      <c r="O1648" s="75" t="s">
        <v>54</v>
      </c>
      <c r="P1648" s="134" t="str">
        <f>IF(AND('331-CT'!$E$7=TH!H1648,OR(N1648="331",O1648="331")),"x","")</f>
        <v/>
      </c>
    </row>
    <row r="1649" spans="1:16" ht="18" hidden="1" customHeight="1">
      <c r="A1649" s="72">
        <f t="shared" si="65"/>
        <v>2016</v>
      </c>
      <c r="B1649" s="72">
        <f t="shared" si="66"/>
        <v>8</v>
      </c>
      <c r="C1649" s="73">
        <v>42586</v>
      </c>
      <c r="D1649" s="73" t="s">
        <v>17</v>
      </c>
      <c r="E1649" s="73">
        <v>42586</v>
      </c>
      <c r="F1649" s="76" t="s">
        <v>35</v>
      </c>
      <c r="G1649" s="265" t="s">
        <v>1242</v>
      </c>
      <c r="H1649" s="122"/>
      <c r="I1649" s="122"/>
      <c r="J1649" s="122"/>
      <c r="K1649" s="122"/>
      <c r="L1649" s="122"/>
      <c r="M1649" s="74">
        <v>2500</v>
      </c>
      <c r="N1649" s="75" t="s">
        <v>19</v>
      </c>
      <c r="O1649" s="75" t="s">
        <v>54</v>
      </c>
      <c r="P1649" s="134" t="str">
        <f>IF(AND('331-CT'!$E$7=TH!H1649,OR(N1649="331",O1649="331")),"x","")</f>
        <v/>
      </c>
    </row>
    <row r="1650" spans="1:16" ht="18" hidden="1" customHeight="1">
      <c r="A1650" s="72">
        <f t="shared" si="65"/>
        <v>2016</v>
      </c>
      <c r="B1650" s="72">
        <f t="shared" si="66"/>
        <v>8</v>
      </c>
      <c r="C1650" s="73">
        <v>42587</v>
      </c>
      <c r="D1650" s="73" t="s">
        <v>17</v>
      </c>
      <c r="E1650" s="73">
        <v>42587</v>
      </c>
      <c r="F1650" s="76" t="s">
        <v>1511</v>
      </c>
      <c r="G1650" s="265" t="s">
        <v>1242</v>
      </c>
      <c r="H1650" s="122" t="s">
        <v>1389</v>
      </c>
      <c r="I1650" s="122"/>
      <c r="J1650" s="122"/>
      <c r="K1650" s="122"/>
      <c r="L1650" s="122"/>
      <c r="M1650" s="74">
        <v>21000000</v>
      </c>
      <c r="N1650" s="75" t="s">
        <v>18</v>
      </c>
      <c r="O1650" s="75" t="s">
        <v>54</v>
      </c>
      <c r="P1650" s="134" t="str">
        <f>IF(AND('331-CT'!$E$7=TH!H1650,OR(N1650="331",O1650="331")),"x","")</f>
        <v/>
      </c>
    </row>
    <row r="1651" spans="1:16" ht="18" hidden="1" customHeight="1">
      <c r="A1651" s="72">
        <f t="shared" si="65"/>
        <v>2016</v>
      </c>
      <c r="B1651" s="72">
        <f t="shared" si="66"/>
        <v>8</v>
      </c>
      <c r="C1651" s="73">
        <v>42592</v>
      </c>
      <c r="D1651" s="73" t="s">
        <v>17</v>
      </c>
      <c r="E1651" s="73">
        <v>42592</v>
      </c>
      <c r="F1651" s="76" t="s">
        <v>1455</v>
      </c>
      <c r="G1651" s="265" t="s">
        <v>1242</v>
      </c>
      <c r="H1651" s="122" t="s">
        <v>271</v>
      </c>
      <c r="I1651" s="122"/>
      <c r="J1651" s="122"/>
      <c r="K1651" s="122"/>
      <c r="L1651" s="122"/>
      <c r="M1651" s="74">
        <v>500000000</v>
      </c>
      <c r="N1651" s="75" t="s">
        <v>203</v>
      </c>
      <c r="O1651" s="75" t="s">
        <v>54</v>
      </c>
      <c r="P1651" s="134" t="str">
        <f>IF(AND('331-CT'!$E$7=TH!H1651,OR(N1651="331",O1651="331")),"x","")</f>
        <v/>
      </c>
    </row>
    <row r="1652" spans="1:16" ht="18" hidden="1" customHeight="1">
      <c r="A1652" s="72">
        <f t="shared" si="65"/>
        <v>2016</v>
      </c>
      <c r="B1652" s="72">
        <f t="shared" si="66"/>
        <v>8</v>
      </c>
      <c r="C1652" s="73">
        <v>42593</v>
      </c>
      <c r="D1652" s="73" t="s">
        <v>17</v>
      </c>
      <c r="E1652" s="73">
        <v>42593</v>
      </c>
      <c r="F1652" s="76" t="s">
        <v>1512</v>
      </c>
      <c r="G1652" s="265" t="s">
        <v>1242</v>
      </c>
      <c r="H1652" s="122" t="s">
        <v>440</v>
      </c>
      <c r="I1652" s="122"/>
      <c r="J1652" s="122"/>
      <c r="K1652" s="122"/>
      <c r="L1652" s="122"/>
      <c r="M1652" s="74">
        <v>31034850</v>
      </c>
      <c r="N1652" s="75" t="s">
        <v>18</v>
      </c>
      <c r="O1652" s="75" t="s">
        <v>54</v>
      </c>
      <c r="P1652" s="134" t="str">
        <f>IF(AND('331-CT'!$E$7=TH!H1652,OR(N1652="331",O1652="331")),"x","")</f>
        <v/>
      </c>
    </row>
    <row r="1653" spans="1:16" ht="18" hidden="1" customHeight="1">
      <c r="A1653" s="72">
        <f t="shared" ref="A1653:A1716" si="67">IF(C1653&lt;&gt;"",YEAR(C1653),"")</f>
        <v>2016</v>
      </c>
      <c r="B1653" s="72">
        <f t="shared" ref="B1653:B1716" si="68">IF(C1653&lt;&gt;"",MONTH(C1653),"")</f>
        <v>8</v>
      </c>
      <c r="C1653" s="73">
        <v>42593</v>
      </c>
      <c r="D1653" s="73" t="s">
        <v>17</v>
      </c>
      <c r="E1653" s="73">
        <v>42593</v>
      </c>
      <c r="F1653" s="76" t="s">
        <v>34</v>
      </c>
      <c r="G1653" s="265" t="s">
        <v>1242</v>
      </c>
      <c r="H1653" s="122"/>
      <c r="I1653" s="122"/>
      <c r="J1653" s="122"/>
      <c r="K1653" s="122"/>
      <c r="L1653" s="122"/>
      <c r="M1653" s="74">
        <v>25000</v>
      </c>
      <c r="N1653" s="75" t="s">
        <v>241</v>
      </c>
      <c r="O1653" s="75" t="s">
        <v>54</v>
      </c>
      <c r="P1653" s="134" t="str">
        <f>IF(AND('331-CT'!$E$7=TH!H1653,OR(N1653="331",O1653="331")),"x","")</f>
        <v/>
      </c>
    </row>
    <row r="1654" spans="1:16" ht="18" hidden="1" customHeight="1">
      <c r="A1654" s="72">
        <f t="shared" si="67"/>
        <v>2016</v>
      </c>
      <c r="B1654" s="72">
        <f t="shared" si="68"/>
        <v>8</v>
      </c>
      <c r="C1654" s="73">
        <v>42593</v>
      </c>
      <c r="D1654" s="73" t="s">
        <v>17</v>
      </c>
      <c r="E1654" s="73">
        <v>42593</v>
      </c>
      <c r="F1654" s="76" t="s">
        <v>35</v>
      </c>
      <c r="G1654" s="265" t="s">
        <v>1242</v>
      </c>
      <c r="H1654" s="122"/>
      <c r="I1654" s="122"/>
      <c r="J1654" s="122"/>
      <c r="K1654" s="122"/>
      <c r="L1654" s="122"/>
      <c r="M1654" s="74">
        <v>2500</v>
      </c>
      <c r="N1654" s="75" t="s">
        <v>19</v>
      </c>
      <c r="O1654" s="75" t="s">
        <v>54</v>
      </c>
      <c r="P1654" s="134" t="str">
        <f>IF(AND('331-CT'!$E$7=TH!H1654,OR(N1654="331",O1654="331")),"x","")</f>
        <v/>
      </c>
    </row>
    <row r="1655" spans="1:16" ht="18" hidden="1" customHeight="1">
      <c r="A1655" s="72">
        <f t="shared" si="67"/>
        <v>2016</v>
      </c>
      <c r="B1655" s="72">
        <f t="shared" si="68"/>
        <v>8</v>
      </c>
      <c r="C1655" s="73">
        <v>42593</v>
      </c>
      <c r="D1655" s="73" t="s">
        <v>17</v>
      </c>
      <c r="E1655" s="73">
        <v>42593</v>
      </c>
      <c r="F1655" s="76" t="s">
        <v>1513</v>
      </c>
      <c r="G1655" s="265" t="s">
        <v>1242</v>
      </c>
      <c r="H1655" s="122" t="s">
        <v>1396</v>
      </c>
      <c r="I1655" s="122"/>
      <c r="J1655" s="122"/>
      <c r="K1655" s="122"/>
      <c r="L1655" s="122"/>
      <c r="M1655" s="74">
        <v>17500000</v>
      </c>
      <c r="N1655" s="75" t="s">
        <v>18</v>
      </c>
      <c r="O1655" s="75" t="s">
        <v>54</v>
      </c>
      <c r="P1655" s="134" t="str">
        <f>IF(AND('331-CT'!$E$7=TH!H1655,OR(N1655="331",O1655="331")),"x","")</f>
        <v/>
      </c>
    </row>
    <row r="1656" spans="1:16" ht="18" hidden="1" customHeight="1">
      <c r="A1656" s="72">
        <f t="shared" si="67"/>
        <v>2016</v>
      </c>
      <c r="B1656" s="72">
        <f t="shared" si="68"/>
        <v>8</v>
      </c>
      <c r="C1656" s="73">
        <v>42593</v>
      </c>
      <c r="D1656" s="73" t="s">
        <v>17</v>
      </c>
      <c r="E1656" s="73">
        <v>42593</v>
      </c>
      <c r="F1656" s="76" t="s">
        <v>34</v>
      </c>
      <c r="G1656" s="265" t="s">
        <v>1242</v>
      </c>
      <c r="H1656" s="122"/>
      <c r="I1656" s="122"/>
      <c r="J1656" s="122"/>
      <c r="K1656" s="122"/>
      <c r="L1656" s="122"/>
      <c r="M1656" s="74">
        <v>25000</v>
      </c>
      <c r="N1656" s="75" t="s">
        <v>241</v>
      </c>
      <c r="O1656" s="75" t="s">
        <v>54</v>
      </c>
      <c r="P1656" s="134" t="str">
        <f>IF(AND('331-CT'!$E$7=TH!H1656,OR(N1656="331",O1656="331")),"x","")</f>
        <v/>
      </c>
    </row>
    <row r="1657" spans="1:16" ht="18" hidden="1" customHeight="1">
      <c r="A1657" s="72">
        <f t="shared" si="67"/>
        <v>2016</v>
      </c>
      <c r="B1657" s="72">
        <f t="shared" si="68"/>
        <v>8</v>
      </c>
      <c r="C1657" s="73">
        <v>42593</v>
      </c>
      <c r="D1657" s="73" t="s">
        <v>17</v>
      </c>
      <c r="E1657" s="73">
        <v>42593</v>
      </c>
      <c r="F1657" s="76" t="s">
        <v>35</v>
      </c>
      <c r="G1657" s="265" t="s">
        <v>1242</v>
      </c>
      <c r="H1657" s="122"/>
      <c r="I1657" s="122"/>
      <c r="J1657" s="122"/>
      <c r="K1657" s="122"/>
      <c r="L1657" s="122"/>
      <c r="M1657" s="74">
        <v>2500</v>
      </c>
      <c r="N1657" s="75" t="s">
        <v>19</v>
      </c>
      <c r="O1657" s="75" t="s">
        <v>54</v>
      </c>
      <c r="P1657" s="134" t="str">
        <f>IF(AND('331-CT'!$E$7=TH!H1657,OR(N1657="331",O1657="331")),"x","")</f>
        <v/>
      </c>
    </row>
    <row r="1658" spans="1:16" ht="18" hidden="1" customHeight="1">
      <c r="A1658" s="72">
        <f t="shared" si="67"/>
        <v>2016</v>
      </c>
      <c r="B1658" s="72">
        <f t="shared" si="68"/>
        <v>8</v>
      </c>
      <c r="C1658" s="73">
        <v>42594</v>
      </c>
      <c r="D1658" s="73" t="s">
        <v>17</v>
      </c>
      <c r="E1658" s="73">
        <v>42594</v>
      </c>
      <c r="F1658" s="76" t="s">
        <v>1269</v>
      </c>
      <c r="G1658" s="265" t="s">
        <v>1242</v>
      </c>
      <c r="H1658" s="122" t="s">
        <v>299</v>
      </c>
      <c r="I1658" s="122"/>
      <c r="J1658" s="122"/>
      <c r="K1658" s="122"/>
      <c r="L1658" s="122"/>
      <c r="M1658" s="74">
        <v>64502276</v>
      </c>
      <c r="N1658" s="75" t="s">
        <v>212</v>
      </c>
      <c r="O1658" s="75" t="s">
        <v>54</v>
      </c>
      <c r="P1658" s="134" t="str">
        <f>IF(AND('331-CT'!$E$7=TH!H1658,OR(N1658="331",O1658="331")),"x","")</f>
        <v/>
      </c>
    </row>
    <row r="1659" spans="1:16" ht="18" hidden="1" customHeight="1">
      <c r="A1659" s="72">
        <f t="shared" si="67"/>
        <v>2016</v>
      </c>
      <c r="B1659" s="72">
        <f t="shared" si="68"/>
        <v>8</v>
      </c>
      <c r="C1659" s="73">
        <v>42594</v>
      </c>
      <c r="D1659" s="73" t="s">
        <v>17</v>
      </c>
      <c r="E1659" s="73">
        <v>42594</v>
      </c>
      <c r="F1659" s="76" t="s">
        <v>1269</v>
      </c>
      <c r="G1659" s="265" t="s">
        <v>1242</v>
      </c>
      <c r="H1659" s="122" t="s">
        <v>299</v>
      </c>
      <c r="I1659" s="122"/>
      <c r="J1659" s="122"/>
      <c r="K1659" s="122"/>
      <c r="L1659" s="122"/>
      <c r="M1659" s="74">
        <v>62466820</v>
      </c>
      <c r="N1659" s="75" t="s">
        <v>18</v>
      </c>
      <c r="O1659" s="75" t="s">
        <v>54</v>
      </c>
      <c r="P1659" s="134" t="str">
        <f>IF(AND('331-CT'!$E$7=TH!H1659,OR(N1659="331",O1659="331")),"x","")</f>
        <v/>
      </c>
    </row>
    <row r="1660" spans="1:16" ht="18" hidden="1" customHeight="1">
      <c r="A1660" s="72">
        <f t="shared" si="67"/>
        <v>2016</v>
      </c>
      <c r="B1660" s="72">
        <f t="shared" si="68"/>
        <v>8</v>
      </c>
      <c r="C1660" s="73">
        <v>42594</v>
      </c>
      <c r="D1660" s="73" t="s">
        <v>17</v>
      </c>
      <c r="E1660" s="73">
        <v>42594</v>
      </c>
      <c r="F1660" s="76" t="s">
        <v>34</v>
      </c>
      <c r="G1660" s="265" t="s">
        <v>1242</v>
      </c>
      <c r="H1660" s="122"/>
      <c r="I1660" s="122"/>
      <c r="J1660" s="122"/>
      <c r="K1660" s="122"/>
      <c r="L1660" s="122"/>
      <c r="M1660" s="74">
        <v>31233</v>
      </c>
      <c r="N1660" s="75" t="s">
        <v>241</v>
      </c>
      <c r="O1660" s="75" t="s">
        <v>54</v>
      </c>
      <c r="P1660" s="134" t="str">
        <f>IF(AND('331-CT'!$E$7=TH!H1660,OR(N1660="331",O1660="331")),"x","")</f>
        <v/>
      </c>
    </row>
    <row r="1661" spans="1:16" ht="18" hidden="1" customHeight="1">
      <c r="A1661" s="72">
        <f t="shared" si="67"/>
        <v>2016</v>
      </c>
      <c r="B1661" s="72">
        <f t="shared" si="68"/>
        <v>8</v>
      </c>
      <c r="C1661" s="73">
        <v>42594</v>
      </c>
      <c r="D1661" s="73" t="s">
        <v>17</v>
      </c>
      <c r="E1661" s="73">
        <v>42594</v>
      </c>
      <c r="F1661" s="76" t="s">
        <v>35</v>
      </c>
      <c r="G1661" s="265" t="s">
        <v>1242</v>
      </c>
      <c r="H1661" s="122"/>
      <c r="I1661" s="122"/>
      <c r="J1661" s="122"/>
      <c r="K1661" s="122"/>
      <c r="L1661" s="122"/>
      <c r="M1661" s="74">
        <v>3123</v>
      </c>
      <c r="N1661" s="75" t="s">
        <v>19</v>
      </c>
      <c r="O1661" s="75" t="s">
        <v>54</v>
      </c>
      <c r="P1661" s="134" t="str">
        <f>IF(AND('331-CT'!$E$7=TH!H1661,OR(N1661="331",O1661="331")),"x","")</f>
        <v/>
      </c>
    </row>
    <row r="1662" spans="1:16" ht="18" hidden="1" customHeight="1">
      <c r="A1662" s="72">
        <f t="shared" si="67"/>
        <v>2016</v>
      </c>
      <c r="B1662" s="72">
        <f t="shared" si="68"/>
        <v>8</v>
      </c>
      <c r="C1662" s="73">
        <v>42594</v>
      </c>
      <c r="D1662" s="73" t="s">
        <v>17</v>
      </c>
      <c r="E1662" s="73">
        <v>42594</v>
      </c>
      <c r="F1662" s="76" t="s">
        <v>1448</v>
      </c>
      <c r="G1662" s="265" t="s">
        <v>1242</v>
      </c>
      <c r="H1662" s="122" t="s">
        <v>1200</v>
      </c>
      <c r="I1662" s="122"/>
      <c r="J1662" s="122"/>
      <c r="K1662" s="122"/>
      <c r="L1662" s="122"/>
      <c r="M1662" s="74">
        <v>18000000</v>
      </c>
      <c r="N1662" s="75" t="s">
        <v>39</v>
      </c>
      <c r="O1662" s="75" t="s">
        <v>54</v>
      </c>
      <c r="P1662" s="134" t="str">
        <f>IF(AND('331-CT'!$E$7=TH!H1662,OR(N1662="331",O1662="331")),"x","")</f>
        <v/>
      </c>
    </row>
    <row r="1663" spans="1:16" ht="18" hidden="1" customHeight="1">
      <c r="A1663" s="72">
        <f t="shared" si="67"/>
        <v>2016</v>
      </c>
      <c r="B1663" s="72">
        <f t="shared" si="68"/>
        <v>8</v>
      </c>
      <c r="C1663" s="73">
        <v>42594</v>
      </c>
      <c r="D1663" s="73" t="s">
        <v>17</v>
      </c>
      <c r="E1663" s="73">
        <v>42594</v>
      </c>
      <c r="F1663" s="76" t="s">
        <v>1266</v>
      </c>
      <c r="G1663" s="265"/>
      <c r="H1663" s="122" t="s">
        <v>1200</v>
      </c>
      <c r="I1663" s="122"/>
      <c r="J1663" s="122"/>
      <c r="K1663" s="122"/>
      <c r="L1663" s="122"/>
      <c r="M1663" s="74">
        <v>18000000</v>
      </c>
      <c r="N1663" s="75" t="s">
        <v>203</v>
      </c>
      <c r="O1663" s="75" t="s">
        <v>39</v>
      </c>
      <c r="P1663" s="134" t="str">
        <f>IF(AND('331-CT'!$E$7=TH!H1663,OR(N1663="331",O1663="331")),"x","")</f>
        <v/>
      </c>
    </row>
    <row r="1664" spans="1:16" ht="18" hidden="1" customHeight="1">
      <c r="A1664" s="72">
        <f t="shared" si="67"/>
        <v>2016</v>
      </c>
      <c r="B1664" s="72">
        <f t="shared" si="68"/>
        <v>8</v>
      </c>
      <c r="C1664" s="73">
        <v>42594</v>
      </c>
      <c r="D1664" s="73" t="s">
        <v>17</v>
      </c>
      <c r="E1664" s="73">
        <v>42594</v>
      </c>
      <c r="F1664" s="76" t="s">
        <v>113</v>
      </c>
      <c r="G1664" s="265" t="s">
        <v>1242</v>
      </c>
      <c r="H1664" s="122" t="s">
        <v>85</v>
      </c>
      <c r="I1664" s="122"/>
      <c r="J1664" s="122"/>
      <c r="K1664" s="122"/>
      <c r="L1664" s="122"/>
      <c r="M1664" s="74">
        <v>200000000</v>
      </c>
      <c r="N1664" s="75" t="s">
        <v>18</v>
      </c>
      <c r="O1664" s="75" t="s">
        <v>54</v>
      </c>
      <c r="P1664" s="134" t="str">
        <f>IF(AND('331-CT'!$E$7=TH!H1664,OR(N1664="331",O1664="331")),"x","")</f>
        <v/>
      </c>
    </row>
    <row r="1665" spans="1:16" ht="18" hidden="1" customHeight="1">
      <c r="A1665" s="72">
        <f t="shared" si="67"/>
        <v>2016</v>
      </c>
      <c r="B1665" s="72">
        <f t="shared" si="68"/>
        <v>8</v>
      </c>
      <c r="C1665" s="73">
        <v>42594</v>
      </c>
      <c r="D1665" s="73" t="s">
        <v>17</v>
      </c>
      <c r="E1665" s="73">
        <v>42594</v>
      </c>
      <c r="F1665" s="76" t="s">
        <v>34</v>
      </c>
      <c r="G1665" s="265" t="s">
        <v>1242</v>
      </c>
      <c r="H1665" s="122"/>
      <c r="I1665" s="122"/>
      <c r="J1665" s="122"/>
      <c r="K1665" s="122"/>
      <c r="L1665" s="122"/>
      <c r="M1665" s="74">
        <v>100000</v>
      </c>
      <c r="N1665" s="75" t="s">
        <v>241</v>
      </c>
      <c r="O1665" s="75" t="s">
        <v>54</v>
      </c>
      <c r="P1665" s="134" t="str">
        <f>IF(AND('331-CT'!$E$7=TH!H1665,OR(N1665="331",O1665="331")),"x","")</f>
        <v/>
      </c>
    </row>
    <row r="1666" spans="1:16" ht="18" hidden="1" customHeight="1">
      <c r="A1666" s="72">
        <f t="shared" si="67"/>
        <v>2016</v>
      </c>
      <c r="B1666" s="72">
        <f t="shared" si="68"/>
        <v>8</v>
      </c>
      <c r="C1666" s="73">
        <v>42594</v>
      </c>
      <c r="D1666" s="73" t="s">
        <v>17</v>
      </c>
      <c r="E1666" s="73">
        <v>42594</v>
      </c>
      <c r="F1666" s="76" t="s">
        <v>35</v>
      </c>
      <c r="G1666" s="265" t="s">
        <v>1242</v>
      </c>
      <c r="H1666" s="122"/>
      <c r="I1666" s="122"/>
      <c r="J1666" s="122"/>
      <c r="K1666" s="122"/>
      <c r="L1666" s="122"/>
      <c r="M1666" s="74">
        <v>10000</v>
      </c>
      <c r="N1666" s="75" t="s">
        <v>19</v>
      </c>
      <c r="O1666" s="75" t="s">
        <v>54</v>
      </c>
      <c r="P1666" s="134" t="str">
        <f>IF(AND('331-CT'!$E$7=TH!H1666,OR(N1666="331",O1666="331")),"x","")</f>
        <v/>
      </c>
    </row>
    <row r="1667" spans="1:16" ht="18" hidden="1" customHeight="1">
      <c r="A1667" s="72">
        <f t="shared" si="67"/>
        <v>2016</v>
      </c>
      <c r="B1667" s="72">
        <f t="shared" si="68"/>
        <v>8</v>
      </c>
      <c r="C1667" s="73">
        <v>42597</v>
      </c>
      <c r="D1667" s="73" t="s">
        <v>78</v>
      </c>
      <c r="E1667" s="73">
        <v>42597</v>
      </c>
      <c r="F1667" s="76" t="s">
        <v>1514</v>
      </c>
      <c r="G1667" s="265" t="s">
        <v>1515</v>
      </c>
      <c r="H1667" s="122" t="s">
        <v>406</v>
      </c>
      <c r="I1667" s="122"/>
      <c r="J1667" s="122"/>
      <c r="K1667" s="122"/>
      <c r="L1667" s="122"/>
      <c r="M1667" s="74">
        <v>395529091</v>
      </c>
      <c r="N1667" s="75" t="s">
        <v>654</v>
      </c>
      <c r="O1667" s="75" t="s">
        <v>18</v>
      </c>
      <c r="P1667" s="134" t="str">
        <f>IF(AND('331-CT'!$E$7=TH!H1667,OR(N1667="331",O1667="331")),"x","")</f>
        <v/>
      </c>
    </row>
    <row r="1668" spans="1:16" ht="18" hidden="1" customHeight="1">
      <c r="A1668" s="72">
        <f t="shared" si="67"/>
        <v>2016</v>
      </c>
      <c r="B1668" s="72">
        <f t="shared" si="68"/>
        <v>8</v>
      </c>
      <c r="C1668" s="73">
        <v>42597</v>
      </c>
      <c r="D1668" s="73" t="s">
        <v>78</v>
      </c>
      <c r="E1668" s="73">
        <v>42597</v>
      </c>
      <c r="F1668" s="76" t="s">
        <v>1516</v>
      </c>
      <c r="G1668" s="265" t="s">
        <v>1515</v>
      </c>
      <c r="H1668" s="122" t="s">
        <v>406</v>
      </c>
      <c r="I1668" s="122"/>
      <c r="J1668" s="122"/>
      <c r="K1668" s="122"/>
      <c r="L1668" s="122"/>
      <c r="M1668" s="74">
        <v>39552909</v>
      </c>
      <c r="N1668" s="75" t="s">
        <v>19</v>
      </c>
      <c r="O1668" s="75" t="s">
        <v>18</v>
      </c>
      <c r="P1668" s="134" t="str">
        <f>IF(AND('331-CT'!$E$7=TH!H1668,OR(N1668="331",O1668="331")),"x","")</f>
        <v/>
      </c>
    </row>
    <row r="1669" spans="1:16" ht="18" hidden="1" customHeight="1">
      <c r="A1669" s="72">
        <f t="shared" si="67"/>
        <v>2016</v>
      </c>
      <c r="B1669" s="72">
        <f t="shared" si="68"/>
        <v>7</v>
      </c>
      <c r="C1669" s="73">
        <v>42576</v>
      </c>
      <c r="D1669" s="73"/>
      <c r="E1669" s="73">
        <v>42576</v>
      </c>
      <c r="F1669" s="76" t="s">
        <v>1459</v>
      </c>
      <c r="G1669" s="265" t="s">
        <v>1517</v>
      </c>
      <c r="H1669" s="122" t="s">
        <v>188</v>
      </c>
      <c r="I1669" s="122"/>
      <c r="J1669" s="122"/>
      <c r="K1669" s="122"/>
      <c r="L1669" s="122"/>
      <c r="M1669" s="74">
        <v>8184400</v>
      </c>
      <c r="N1669" s="75" t="s">
        <v>241</v>
      </c>
      <c r="O1669" s="75" t="s">
        <v>203</v>
      </c>
      <c r="P1669" s="134" t="str">
        <f>IF(AND('331-CT'!$E$7=TH!H1669,OR(N1669="331",O1669="331")),"x","")</f>
        <v/>
      </c>
    </row>
    <row r="1670" spans="1:16" ht="18" hidden="1" customHeight="1">
      <c r="A1670" s="72">
        <f t="shared" si="67"/>
        <v>2016</v>
      </c>
      <c r="B1670" s="72">
        <f t="shared" si="68"/>
        <v>7</v>
      </c>
      <c r="C1670" s="73">
        <v>42576</v>
      </c>
      <c r="D1670" s="73"/>
      <c r="E1670" s="73">
        <v>42576</v>
      </c>
      <c r="F1670" s="76" t="s">
        <v>1461</v>
      </c>
      <c r="G1670" s="265" t="s">
        <v>1517</v>
      </c>
      <c r="H1670" s="122" t="s">
        <v>188</v>
      </c>
      <c r="I1670" s="122"/>
      <c r="J1670" s="122"/>
      <c r="K1670" s="122"/>
      <c r="L1670" s="122"/>
      <c r="M1670" s="74">
        <v>409220</v>
      </c>
      <c r="N1670" s="75" t="s">
        <v>19</v>
      </c>
      <c r="O1670" s="75" t="s">
        <v>203</v>
      </c>
      <c r="P1670" s="134" t="str">
        <f>IF(AND('331-CT'!$E$7=TH!H1670,OR(N1670="331",O1670="331")),"x","")</f>
        <v/>
      </c>
    </row>
    <row r="1671" spans="1:16" ht="18" hidden="1" customHeight="1">
      <c r="A1671" s="72">
        <f t="shared" si="67"/>
        <v>2016</v>
      </c>
      <c r="B1671" s="72">
        <f t="shared" si="68"/>
        <v>8</v>
      </c>
      <c r="C1671" s="73">
        <v>42586</v>
      </c>
      <c r="D1671" s="73" t="s">
        <v>78</v>
      </c>
      <c r="E1671" s="73">
        <v>42586</v>
      </c>
      <c r="F1671" s="76" t="s">
        <v>1518</v>
      </c>
      <c r="G1671" s="265" t="s">
        <v>1519</v>
      </c>
      <c r="H1671" s="122" t="s">
        <v>440</v>
      </c>
      <c r="I1671" s="122"/>
      <c r="J1671" s="122"/>
      <c r="K1671" s="122"/>
      <c r="L1671" s="122"/>
      <c r="M1671" s="74">
        <v>28213500</v>
      </c>
      <c r="N1671" s="75" t="s">
        <v>654</v>
      </c>
      <c r="O1671" s="75" t="s">
        <v>18</v>
      </c>
      <c r="P1671" s="134" t="str">
        <f>IF(AND('331-CT'!$E$7=TH!H1671,OR(N1671="331",O1671="331")),"x","")</f>
        <v/>
      </c>
    </row>
    <row r="1672" spans="1:16" ht="18" hidden="1" customHeight="1">
      <c r="A1672" s="72">
        <f t="shared" si="67"/>
        <v>2016</v>
      </c>
      <c r="B1672" s="72">
        <f t="shared" si="68"/>
        <v>8</v>
      </c>
      <c r="C1672" s="73">
        <v>42586</v>
      </c>
      <c r="D1672" s="73" t="s">
        <v>78</v>
      </c>
      <c r="E1672" s="73">
        <v>42586</v>
      </c>
      <c r="F1672" s="76" t="s">
        <v>1520</v>
      </c>
      <c r="G1672" s="265" t="s">
        <v>1519</v>
      </c>
      <c r="H1672" s="122" t="s">
        <v>440</v>
      </c>
      <c r="I1672" s="122"/>
      <c r="J1672" s="122"/>
      <c r="K1672" s="122"/>
      <c r="L1672" s="122"/>
      <c r="M1672" s="74">
        <v>2821350</v>
      </c>
      <c r="N1672" s="75" t="s">
        <v>19</v>
      </c>
      <c r="O1672" s="75" t="s">
        <v>18</v>
      </c>
      <c r="P1672" s="134" t="str">
        <f>IF(AND('331-CT'!$E$7=TH!H1672,OR(N1672="331",O1672="331")),"x","")</f>
        <v/>
      </c>
    </row>
    <row r="1673" spans="1:16" ht="18" hidden="1" customHeight="1">
      <c r="A1673" s="72">
        <f t="shared" si="67"/>
        <v>2016</v>
      </c>
      <c r="B1673" s="72">
        <f t="shared" si="68"/>
        <v>8</v>
      </c>
      <c r="C1673" s="73">
        <v>42590</v>
      </c>
      <c r="D1673" s="73"/>
      <c r="E1673" s="73">
        <v>42590</v>
      </c>
      <c r="F1673" s="76" t="s">
        <v>1186</v>
      </c>
      <c r="G1673" s="265" t="s">
        <v>1521</v>
      </c>
      <c r="H1673" s="122" t="s">
        <v>828</v>
      </c>
      <c r="I1673" s="122"/>
      <c r="J1673" s="122"/>
      <c r="K1673" s="122"/>
      <c r="L1673" s="122"/>
      <c r="M1673" s="74">
        <v>1770000</v>
      </c>
      <c r="N1673" s="75" t="s">
        <v>654</v>
      </c>
      <c r="O1673" s="75" t="s">
        <v>203</v>
      </c>
      <c r="P1673" s="134" t="str">
        <f>IF(AND('331-CT'!$E$7=TH!H1673,OR(N1673="331",O1673="331")),"x","")</f>
        <v/>
      </c>
    </row>
    <row r="1674" spans="1:16" ht="18" hidden="1" customHeight="1">
      <c r="A1674" s="72">
        <f t="shared" si="67"/>
        <v>2016</v>
      </c>
      <c r="B1674" s="72">
        <f t="shared" si="68"/>
        <v>8</v>
      </c>
      <c r="C1674" s="73">
        <v>42592</v>
      </c>
      <c r="D1674" s="73"/>
      <c r="E1674" s="73">
        <v>42592</v>
      </c>
      <c r="F1674" s="76" t="s">
        <v>1522</v>
      </c>
      <c r="G1674" s="265" t="s">
        <v>409</v>
      </c>
      <c r="H1674" s="122" t="s">
        <v>782</v>
      </c>
      <c r="I1674" s="122"/>
      <c r="J1674" s="122"/>
      <c r="K1674" s="122"/>
      <c r="L1674" s="122"/>
      <c r="M1674" s="74">
        <v>7272727</v>
      </c>
      <c r="N1674" s="75" t="s">
        <v>241</v>
      </c>
      <c r="O1674" s="75" t="s">
        <v>203</v>
      </c>
      <c r="P1674" s="134" t="str">
        <f>IF(AND('331-CT'!$E$7=TH!H1674,OR(N1674="331",O1674="331")),"x","")</f>
        <v/>
      </c>
    </row>
    <row r="1675" spans="1:16" ht="18" hidden="1" customHeight="1">
      <c r="A1675" s="72">
        <f t="shared" si="67"/>
        <v>2016</v>
      </c>
      <c r="B1675" s="72">
        <f t="shared" si="68"/>
        <v>8</v>
      </c>
      <c r="C1675" s="73">
        <v>42592</v>
      </c>
      <c r="D1675" s="73"/>
      <c r="E1675" s="73">
        <v>42592</v>
      </c>
      <c r="F1675" s="76" t="s">
        <v>1523</v>
      </c>
      <c r="G1675" s="265" t="s">
        <v>409</v>
      </c>
      <c r="H1675" s="122" t="s">
        <v>782</v>
      </c>
      <c r="I1675" s="122"/>
      <c r="J1675" s="122"/>
      <c r="K1675" s="122"/>
      <c r="L1675" s="122"/>
      <c r="M1675" s="74">
        <v>727273</v>
      </c>
      <c r="N1675" s="75" t="s">
        <v>19</v>
      </c>
      <c r="O1675" s="75" t="s">
        <v>203</v>
      </c>
      <c r="P1675" s="134" t="str">
        <f>IF(AND('331-CT'!$E$7=TH!H1675,OR(N1675="331",O1675="331")),"x","")</f>
        <v/>
      </c>
    </row>
    <row r="1676" spans="1:16" ht="18" hidden="1" customHeight="1">
      <c r="A1676" s="72">
        <f t="shared" si="67"/>
        <v>2016</v>
      </c>
      <c r="B1676" s="72">
        <f t="shared" si="68"/>
        <v>7</v>
      </c>
      <c r="C1676" s="73">
        <v>42581</v>
      </c>
      <c r="D1676" s="73"/>
      <c r="E1676" s="73">
        <v>42581</v>
      </c>
      <c r="F1676" s="76" t="s">
        <v>739</v>
      </c>
      <c r="G1676" s="265" t="s">
        <v>1524</v>
      </c>
      <c r="H1676" s="122" t="s">
        <v>741</v>
      </c>
      <c r="I1676" s="122"/>
      <c r="J1676" s="122"/>
      <c r="K1676" s="122"/>
      <c r="L1676" s="122"/>
      <c r="M1676" s="74">
        <v>4336320</v>
      </c>
      <c r="N1676" s="75" t="s">
        <v>241</v>
      </c>
      <c r="O1676" s="75" t="s">
        <v>18</v>
      </c>
      <c r="P1676" s="134" t="str">
        <f>IF(AND('331-CT'!$E$7=TH!H1676,OR(N1676="331",O1676="331")),"x","")</f>
        <v/>
      </c>
    </row>
    <row r="1677" spans="1:16" ht="18" hidden="1" customHeight="1">
      <c r="A1677" s="72">
        <f t="shared" si="67"/>
        <v>2016</v>
      </c>
      <c r="B1677" s="72">
        <f t="shared" si="68"/>
        <v>7</v>
      </c>
      <c r="C1677" s="73">
        <v>42581</v>
      </c>
      <c r="D1677" s="73"/>
      <c r="E1677" s="73">
        <v>42581</v>
      </c>
      <c r="F1677" s="76" t="s">
        <v>742</v>
      </c>
      <c r="G1677" s="265" t="s">
        <v>1524</v>
      </c>
      <c r="H1677" s="122" t="s">
        <v>741</v>
      </c>
      <c r="I1677" s="122"/>
      <c r="J1677" s="122"/>
      <c r="K1677" s="122"/>
      <c r="L1677" s="122"/>
      <c r="M1677" s="74">
        <v>433632</v>
      </c>
      <c r="N1677" s="75" t="s">
        <v>19</v>
      </c>
      <c r="O1677" s="75" t="s">
        <v>18</v>
      </c>
      <c r="P1677" s="134" t="str">
        <f>IF(AND('331-CT'!$E$7=TH!H1677,OR(N1677="331",O1677="331")),"x","")</f>
        <v/>
      </c>
    </row>
    <row r="1678" spans="1:16" ht="18" hidden="1" customHeight="1">
      <c r="A1678" s="72">
        <f t="shared" si="67"/>
        <v>2016</v>
      </c>
      <c r="B1678" s="72">
        <f t="shared" si="68"/>
        <v>7</v>
      </c>
      <c r="C1678" s="73">
        <v>42571</v>
      </c>
      <c r="D1678" s="73"/>
      <c r="E1678" s="73">
        <v>42571</v>
      </c>
      <c r="F1678" s="76" t="s">
        <v>1186</v>
      </c>
      <c r="G1678" s="265" t="s">
        <v>1525</v>
      </c>
      <c r="H1678" s="122" t="s">
        <v>1526</v>
      </c>
      <c r="I1678" s="122"/>
      <c r="J1678" s="122"/>
      <c r="K1678" s="122"/>
      <c r="L1678" s="122"/>
      <c r="M1678" s="74">
        <v>1895000</v>
      </c>
      <c r="N1678" s="75" t="s">
        <v>654</v>
      </c>
      <c r="O1678" s="75" t="s">
        <v>203</v>
      </c>
      <c r="P1678" s="134" t="str">
        <f>IF(AND('331-CT'!$E$7=TH!H1678,OR(N1678="331",O1678="331")),"x","")</f>
        <v/>
      </c>
    </row>
    <row r="1679" spans="1:16" ht="18" hidden="1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122"/>
      <c r="J1679" s="122"/>
      <c r="K1679" s="122"/>
      <c r="L1679" s="122"/>
      <c r="M1679" s="74"/>
      <c r="N1679" s="75"/>
      <c r="O1679" s="75"/>
      <c r="P1679" s="134" t="str">
        <f>IF(AND('331-CT'!$E$7=TH!H1679,OR(N1679="331",O1679="331")),"x","")</f>
        <v/>
      </c>
    </row>
    <row r="1680" spans="1:16" ht="18" hidden="1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122"/>
      <c r="J1680" s="122"/>
      <c r="K1680" s="122"/>
      <c r="L1680" s="122"/>
      <c r="M1680" s="74"/>
      <c r="N1680" s="75"/>
      <c r="O1680" s="75"/>
      <c r="P1680" s="134" t="str">
        <f>IF(AND('331-CT'!$E$7=TH!H1680,OR(N1680="331",O1680="331")),"x","")</f>
        <v/>
      </c>
    </row>
    <row r="1681" spans="1:16" ht="18" hidden="1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122"/>
      <c r="J1681" s="122"/>
      <c r="K1681" s="122"/>
      <c r="L1681" s="122"/>
      <c r="M1681" s="74"/>
      <c r="N1681" s="75"/>
      <c r="O1681" s="75"/>
      <c r="P1681" s="134" t="str">
        <f>IF(AND('331-CT'!$E$7=TH!H1681,OR(N1681="331",O1681="331")),"x","")</f>
        <v/>
      </c>
    </row>
    <row r="1682" spans="1:16" ht="18" hidden="1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122"/>
      <c r="J1682" s="122"/>
      <c r="K1682" s="122"/>
      <c r="L1682" s="122"/>
      <c r="M1682" s="74"/>
      <c r="N1682" s="75"/>
      <c r="O1682" s="75"/>
      <c r="P1682" s="134" t="str">
        <f>IF(AND('331-CT'!$E$7=TH!H1682,OR(N1682="331",O1682="331")),"x","")</f>
        <v/>
      </c>
    </row>
    <row r="1683" spans="1:16" ht="18" hidden="1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122"/>
      <c r="J1683" s="122"/>
      <c r="K1683" s="122"/>
      <c r="L1683" s="122"/>
      <c r="M1683" s="74"/>
      <c r="N1683" s="75"/>
      <c r="O1683" s="75"/>
      <c r="P1683" s="134" t="str">
        <f>IF(AND('331-CT'!$E$7=TH!H1683,OR(N1683="331",O1683="331")),"x","")</f>
        <v/>
      </c>
    </row>
    <row r="1684" spans="1:16" ht="18" hidden="1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122"/>
      <c r="J1684" s="122"/>
      <c r="K1684" s="122"/>
      <c r="L1684" s="122"/>
      <c r="M1684" s="74"/>
      <c r="N1684" s="75"/>
      <c r="O1684" s="75"/>
      <c r="P1684" s="134" t="str">
        <f>IF(AND('331-CT'!$E$7=TH!H1684,OR(N1684="331",O1684="331")),"x","")</f>
        <v/>
      </c>
    </row>
    <row r="1685" spans="1:16" ht="18" hidden="1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122"/>
      <c r="J1685" s="122"/>
      <c r="K1685" s="122"/>
      <c r="L1685" s="122"/>
      <c r="M1685" s="74"/>
      <c r="N1685" s="75"/>
      <c r="O1685" s="75"/>
      <c r="P1685" s="134" t="str">
        <f>IF(AND('331-CT'!$E$7=TH!H1685,OR(N1685="331",O1685="331")),"x","")</f>
        <v/>
      </c>
    </row>
    <row r="1686" spans="1:16" ht="18" hidden="1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122"/>
      <c r="J1686" s="122"/>
      <c r="K1686" s="122"/>
      <c r="L1686" s="122"/>
      <c r="M1686" s="74"/>
      <c r="N1686" s="75"/>
      <c r="O1686" s="75"/>
      <c r="P1686" s="134" t="str">
        <f>IF(AND('331-CT'!$E$7=TH!H1686,OR(N1686="331",O1686="331")),"x","")</f>
        <v/>
      </c>
    </row>
    <row r="1687" spans="1:16" ht="18" hidden="1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122"/>
      <c r="J1687" s="122"/>
      <c r="K1687" s="122"/>
      <c r="L1687" s="122"/>
      <c r="M1687" s="74"/>
      <c r="N1687" s="75"/>
      <c r="O1687" s="75"/>
      <c r="P1687" s="134" t="str">
        <f>IF(AND('331-CT'!$E$7=TH!H1687,OR(N1687="331",O1687="331")),"x","")</f>
        <v/>
      </c>
    </row>
    <row r="1688" spans="1:16" ht="18" hidden="1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122"/>
      <c r="J1688" s="122"/>
      <c r="K1688" s="122"/>
      <c r="L1688" s="122"/>
      <c r="M1688" s="74"/>
      <c r="N1688" s="75"/>
      <c r="O1688" s="75"/>
      <c r="P1688" s="134" t="str">
        <f>IF(AND('331-CT'!$E$7=TH!H1688,OR(N1688="331",O1688="331")),"x","")</f>
        <v/>
      </c>
    </row>
    <row r="1689" spans="1:16" ht="18" hidden="1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122"/>
      <c r="J1689" s="122"/>
      <c r="K1689" s="122"/>
      <c r="L1689" s="122"/>
      <c r="M1689" s="74"/>
      <c r="N1689" s="75"/>
      <c r="O1689" s="75"/>
      <c r="P1689" s="134" t="str">
        <f>IF(AND('331-CT'!$E$7=TH!H1689,OR(N1689="331",O1689="331")),"x","")</f>
        <v/>
      </c>
    </row>
    <row r="1690" spans="1:16" ht="18" hidden="1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122"/>
      <c r="J1690" s="122"/>
      <c r="K1690" s="122"/>
      <c r="L1690" s="122"/>
      <c r="M1690" s="74"/>
      <c r="N1690" s="75"/>
      <c r="O1690" s="75"/>
      <c r="P1690" s="134" t="str">
        <f>IF(AND('331-CT'!$E$7=TH!H1690,OR(N1690="331",O1690="331")),"x","")</f>
        <v/>
      </c>
    </row>
    <row r="1691" spans="1:16" ht="18" hidden="1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122"/>
      <c r="J1691" s="122"/>
      <c r="K1691" s="122"/>
      <c r="L1691" s="122"/>
      <c r="M1691" s="74"/>
      <c r="N1691" s="75"/>
      <c r="O1691" s="75"/>
      <c r="P1691" s="134" t="str">
        <f>IF(AND('331-CT'!$E$7=TH!H1691,OR(N1691="331",O1691="331")),"x","")</f>
        <v/>
      </c>
    </row>
    <row r="1692" spans="1:16" ht="18" hidden="1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122"/>
      <c r="J1692" s="122"/>
      <c r="K1692" s="122"/>
      <c r="L1692" s="122"/>
      <c r="M1692" s="74"/>
      <c r="N1692" s="75"/>
      <c r="O1692" s="75"/>
      <c r="P1692" s="134" t="str">
        <f>IF(AND('331-CT'!$E$7=TH!H1692,OR(N1692="331",O1692="331")),"x","")</f>
        <v/>
      </c>
    </row>
    <row r="1693" spans="1:16" ht="18" hidden="1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122"/>
      <c r="J1693" s="122"/>
      <c r="K1693" s="122"/>
      <c r="L1693" s="122"/>
      <c r="M1693" s="74"/>
      <c r="N1693" s="75"/>
      <c r="O1693" s="75"/>
      <c r="P1693" s="134" t="str">
        <f>IF(AND('331-CT'!$E$7=TH!H1693,OR(N1693="331",O1693="331")),"x","")</f>
        <v/>
      </c>
    </row>
    <row r="1694" spans="1:16" ht="18" hidden="1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122"/>
      <c r="J1694" s="122"/>
      <c r="K1694" s="122"/>
      <c r="L1694" s="122"/>
      <c r="M1694" s="74"/>
      <c r="N1694" s="75"/>
      <c r="O1694" s="75"/>
      <c r="P1694" s="134" t="str">
        <f>IF(AND('331-CT'!$E$7=TH!H1694,OR(N1694="331",O1694="331")),"x","")</f>
        <v/>
      </c>
    </row>
    <row r="1695" spans="1:16" ht="18" hidden="1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122"/>
      <c r="J1695" s="122"/>
      <c r="K1695" s="122"/>
      <c r="L1695" s="122"/>
      <c r="M1695" s="74"/>
      <c r="N1695" s="75"/>
      <c r="O1695" s="75"/>
      <c r="P1695" s="134" t="str">
        <f>IF(AND('331-CT'!$E$7=TH!H1695,OR(N1695="331",O1695="331")),"x","")</f>
        <v/>
      </c>
    </row>
    <row r="1696" spans="1:16" ht="18" hidden="1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122"/>
      <c r="J1696" s="122"/>
      <c r="K1696" s="122"/>
      <c r="L1696" s="122"/>
      <c r="M1696" s="74"/>
      <c r="N1696" s="75"/>
      <c r="O1696" s="75"/>
      <c r="P1696" s="134" t="str">
        <f>IF(AND('331-CT'!$E$7=TH!H1696,OR(N1696="331",O1696="331")),"x","")</f>
        <v/>
      </c>
    </row>
    <row r="1697" spans="1:16" ht="18" hidden="1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122"/>
      <c r="J1697" s="122"/>
      <c r="K1697" s="122"/>
      <c r="L1697" s="122"/>
      <c r="M1697" s="74"/>
      <c r="N1697" s="75"/>
      <c r="O1697" s="75"/>
      <c r="P1697" s="134" t="str">
        <f>IF(AND('331-CT'!$E$7=TH!H1697,OR(N1697="331",O1697="331")),"x","")</f>
        <v/>
      </c>
    </row>
    <row r="1698" spans="1:16" ht="18" hidden="1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122"/>
      <c r="J1698" s="122"/>
      <c r="K1698" s="122"/>
      <c r="L1698" s="122"/>
      <c r="M1698" s="74"/>
      <c r="N1698" s="75"/>
      <c r="O1698" s="75"/>
      <c r="P1698" s="134" t="str">
        <f>IF(AND('331-CT'!$E$7=TH!H1698,OR(N1698="331",O1698="331")),"x","")</f>
        <v/>
      </c>
    </row>
    <row r="1699" spans="1:16" ht="18" hidden="1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122"/>
      <c r="J1699" s="122"/>
      <c r="K1699" s="122"/>
      <c r="L1699" s="122"/>
      <c r="M1699" s="74"/>
      <c r="N1699" s="75"/>
      <c r="O1699" s="75"/>
      <c r="P1699" s="134" t="str">
        <f>IF(AND('331-CT'!$E$7=TH!H1699,OR(N1699="331",O1699="331")),"x","")</f>
        <v/>
      </c>
    </row>
    <row r="1700" spans="1:16" ht="18" hidden="1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122"/>
      <c r="J1700" s="122"/>
      <c r="K1700" s="122"/>
      <c r="L1700" s="122"/>
      <c r="M1700" s="74"/>
      <c r="N1700" s="75"/>
      <c r="O1700" s="75"/>
      <c r="P1700" s="134" t="str">
        <f>IF(AND('331-CT'!$E$7=TH!H1700,OR(N1700="331",O1700="331")),"x","")</f>
        <v/>
      </c>
    </row>
    <row r="1701" spans="1:16" ht="18" hidden="1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122"/>
      <c r="J1701" s="122"/>
      <c r="K1701" s="122"/>
      <c r="L1701" s="122"/>
      <c r="M1701" s="74"/>
      <c r="N1701" s="75"/>
      <c r="O1701" s="75"/>
      <c r="P1701" s="134" t="str">
        <f>IF(AND('331-CT'!$E$7=TH!H1701,OR(N1701="331",O1701="331")),"x","")</f>
        <v/>
      </c>
    </row>
    <row r="1702" spans="1:16" ht="18" hidden="1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122"/>
      <c r="J1702" s="122"/>
      <c r="K1702" s="122"/>
      <c r="L1702" s="122"/>
      <c r="M1702" s="74"/>
      <c r="N1702" s="75"/>
      <c r="O1702" s="75"/>
      <c r="P1702" s="134" t="str">
        <f>IF(AND('331-CT'!$E$7=TH!H1702,OR(N1702="331",O1702="331")),"x","")</f>
        <v/>
      </c>
    </row>
    <row r="1703" spans="1:16" ht="18" hidden="1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122"/>
      <c r="J1703" s="122"/>
      <c r="K1703" s="122"/>
      <c r="L1703" s="122"/>
      <c r="M1703" s="74"/>
      <c r="N1703" s="75"/>
      <c r="O1703" s="75"/>
      <c r="P1703" s="134" t="str">
        <f>IF(AND('331-CT'!$E$7=TH!H1703,OR(N1703="331",O1703="331")),"x","")</f>
        <v/>
      </c>
    </row>
    <row r="1704" spans="1:16" ht="18" hidden="1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122"/>
      <c r="J1704" s="122"/>
      <c r="K1704" s="122"/>
      <c r="L1704" s="122"/>
      <c r="M1704" s="74"/>
      <c r="N1704" s="75"/>
      <c r="O1704" s="75"/>
      <c r="P1704" s="134" t="str">
        <f>IF(AND('331-CT'!$E$7=TH!H1704,OR(N1704="331",O1704="331")),"x","")</f>
        <v/>
      </c>
    </row>
    <row r="1705" spans="1:16" ht="18" hidden="1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122"/>
      <c r="J1705" s="122"/>
      <c r="K1705" s="122"/>
      <c r="L1705" s="122"/>
      <c r="M1705" s="74"/>
      <c r="N1705" s="75"/>
      <c r="O1705" s="75"/>
      <c r="P1705" s="134" t="str">
        <f>IF(AND('331-CT'!$E$7=TH!H1705,OR(N1705="331",O1705="331")),"x","")</f>
        <v/>
      </c>
    </row>
    <row r="1706" spans="1:16" ht="18" hidden="1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122"/>
      <c r="J1706" s="122"/>
      <c r="K1706" s="122"/>
      <c r="L1706" s="122"/>
      <c r="M1706" s="74"/>
      <c r="N1706" s="75"/>
      <c r="O1706" s="75"/>
      <c r="P1706" s="134" t="str">
        <f>IF(AND('331-CT'!$E$7=TH!H1706,OR(N1706="331",O1706="331")),"x","")</f>
        <v/>
      </c>
    </row>
    <row r="1707" spans="1:16" ht="18" hidden="1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122"/>
      <c r="J1707" s="122"/>
      <c r="K1707" s="122"/>
      <c r="L1707" s="122"/>
      <c r="M1707" s="74"/>
      <c r="N1707" s="75"/>
      <c r="O1707" s="75"/>
      <c r="P1707" s="134" t="str">
        <f>IF(AND('331-CT'!$E$7=TH!H1707,OR(N1707="331",O1707="331")),"x","")</f>
        <v/>
      </c>
    </row>
    <row r="1708" spans="1:16" ht="18" hidden="1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122"/>
      <c r="J1708" s="122"/>
      <c r="K1708" s="122"/>
      <c r="L1708" s="122"/>
      <c r="M1708" s="74"/>
      <c r="N1708" s="75"/>
      <c r="O1708" s="75"/>
      <c r="P1708" s="134" t="str">
        <f>IF(AND('331-CT'!$E$7=TH!H1708,OR(N1708="331",O1708="331")),"x","")</f>
        <v/>
      </c>
    </row>
    <row r="1709" spans="1:16" ht="18" hidden="1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122"/>
      <c r="J1709" s="122"/>
      <c r="K1709" s="122"/>
      <c r="L1709" s="122"/>
      <c r="M1709" s="74"/>
      <c r="N1709" s="75"/>
      <c r="O1709" s="75"/>
      <c r="P1709" s="134" t="str">
        <f>IF(AND('331-CT'!$E$7=TH!H1709,OR(N1709="331",O1709="331")),"x","")</f>
        <v/>
      </c>
    </row>
    <row r="1710" spans="1:16" ht="18" hidden="1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122"/>
      <c r="J1710" s="122"/>
      <c r="K1710" s="122"/>
      <c r="L1710" s="122"/>
      <c r="M1710" s="74"/>
      <c r="N1710" s="75"/>
      <c r="O1710" s="75"/>
      <c r="P1710" s="134" t="str">
        <f>IF(AND('331-CT'!$E$7=TH!H1710,OR(N1710="331",O1710="331")),"x","")</f>
        <v/>
      </c>
    </row>
    <row r="1711" spans="1:16" ht="18" hidden="1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122"/>
      <c r="J1711" s="122"/>
      <c r="K1711" s="122"/>
      <c r="L1711" s="122"/>
      <c r="M1711" s="74"/>
      <c r="N1711" s="75"/>
      <c r="O1711" s="75"/>
      <c r="P1711" s="134" t="str">
        <f>IF(AND('331-CT'!$E$7=TH!H1711,OR(N1711="331",O1711="331")),"x","")</f>
        <v/>
      </c>
    </row>
    <row r="1712" spans="1:16" ht="18" hidden="1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122"/>
      <c r="J1712" s="122"/>
      <c r="K1712" s="122"/>
      <c r="L1712" s="122"/>
      <c r="M1712" s="74"/>
      <c r="N1712" s="75"/>
      <c r="O1712" s="75"/>
      <c r="P1712" s="134" t="str">
        <f>IF(AND('331-CT'!$E$7=TH!H1712,OR(N1712="331",O1712="331")),"x","")</f>
        <v/>
      </c>
    </row>
    <row r="1713" spans="1:16" ht="18" hidden="1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122"/>
      <c r="J1713" s="122"/>
      <c r="K1713" s="122"/>
      <c r="L1713" s="122"/>
      <c r="M1713" s="74"/>
      <c r="N1713" s="75"/>
      <c r="O1713" s="75"/>
      <c r="P1713" s="134" t="str">
        <f>IF(AND('331-CT'!$E$7=TH!H1713,OR(N1713="331",O1713="331")),"x","")</f>
        <v/>
      </c>
    </row>
    <row r="1714" spans="1:16" ht="18" hidden="1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122"/>
      <c r="J1714" s="122"/>
      <c r="K1714" s="122"/>
      <c r="L1714" s="122"/>
      <c r="M1714" s="74"/>
      <c r="N1714" s="75"/>
      <c r="O1714" s="75"/>
      <c r="P1714" s="134" t="str">
        <f>IF(AND('331-CT'!$E$7=TH!H1714,OR(N1714="331",O1714="331")),"x","")</f>
        <v/>
      </c>
    </row>
    <row r="1715" spans="1:16" ht="18" hidden="1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122"/>
      <c r="J1715" s="122"/>
      <c r="K1715" s="122"/>
      <c r="L1715" s="122"/>
      <c r="M1715" s="74"/>
      <c r="N1715" s="75"/>
      <c r="O1715" s="75"/>
      <c r="P1715" s="134" t="str">
        <f>IF(AND('331-CT'!$E$7=TH!H1715,OR(N1715="331",O1715="331")),"x","")</f>
        <v/>
      </c>
    </row>
    <row r="1716" spans="1:16" ht="18" hidden="1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122"/>
      <c r="J1716" s="122"/>
      <c r="K1716" s="122"/>
      <c r="L1716" s="122"/>
      <c r="M1716" s="74"/>
      <c r="N1716" s="75"/>
      <c r="O1716" s="75"/>
      <c r="P1716" s="134" t="str">
        <f>IF(AND('331-CT'!$E$7=TH!H1716,OR(N1716="331",O1716="331")),"x","")</f>
        <v/>
      </c>
    </row>
    <row r="1717" spans="1:16" ht="18" hidden="1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122"/>
      <c r="J1717" s="122"/>
      <c r="K1717" s="122"/>
      <c r="L1717" s="122"/>
      <c r="M1717" s="74"/>
      <c r="N1717" s="75"/>
      <c r="O1717" s="75"/>
      <c r="P1717" s="134" t="str">
        <f>IF(AND('331-CT'!$E$7=TH!H1717,OR(N1717="331",O1717="331")),"x","")</f>
        <v/>
      </c>
    </row>
    <row r="1718" spans="1:16" ht="18" hidden="1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122"/>
      <c r="J1718" s="122"/>
      <c r="K1718" s="122"/>
      <c r="L1718" s="122"/>
      <c r="M1718" s="74"/>
      <c r="N1718" s="75"/>
      <c r="O1718" s="75"/>
      <c r="P1718" s="134" t="str">
        <f>IF(AND('331-CT'!$E$7=TH!H1718,OR(N1718="331",O1718="331")),"x","")</f>
        <v/>
      </c>
    </row>
    <row r="1719" spans="1:16" ht="18" hidden="1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122"/>
      <c r="J1719" s="122"/>
      <c r="K1719" s="122"/>
      <c r="L1719" s="122"/>
      <c r="M1719" s="74"/>
      <c r="N1719" s="75"/>
      <c r="O1719" s="75"/>
      <c r="P1719" s="134" t="str">
        <f>IF(AND('331-CT'!$E$7=TH!H1719,OR(N1719="331",O1719="331")),"x","")</f>
        <v/>
      </c>
    </row>
    <row r="1720" spans="1:16" ht="18" hidden="1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122"/>
      <c r="J1720" s="122"/>
      <c r="K1720" s="122"/>
      <c r="L1720" s="122"/>
      <c r="M1720" s="74"/>
      <c r="N1720" s="75"/>
      <c r="O1720" s="75"/>
      <c r="P1720" s="134" t="str">
        <f>IF(AND('331-CT'!$E$7=TH!H1720,OR(N1720="331",O1720="331")),"x","")</f>
        <v/>
      </c>
    </row>
    <row r="1721" spans="1:16" ht="18" hidden="1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122"/>
      <c r="J1721" s="122"/>
      <c r="K1721" s="122"/>
      <c r="L1721" s="122"/>
      <c r="M1721" s="74"/>
      <c r="N1721" s="75"/>
      <c r="O1721" s="75"/>
      <c r="P1721" s="134" t="str">
        <f>IF(AND('331-CT'!$E$7=TH!H1721,OR(N1721="331",O1721="331")),"x","")</f>
        <v/>
      </c>
    </row>
    <row r="1722" spans="1:16" ht="18" hidden="1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122"/>
      <c r="J1722" s="122"/>
      <c r="K1722" s="122"/>
      <c r="L1722" s="122"/>
      <c r="M1722" s="74"/>
      <c r="N1722" s="75"/>
      <c r="O1722" s="75"/>
      <c r="P1722" s="134" t="str">
        <f>IF(AND('331-CT'!$E$7=TH!H1722,OR(N1722="331",O1722="331")),"x","")</f>
        <v/>
      </c>
    </row>
    <row r="1723" spans="1:16" ht="18" hidden="1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122"/>
      <c r="J1723" s="122"/>
      <c r="K1723" s="122"/>
      <c r="L1723" s="122"/>
      <c r="M1723" s="74"/>
      <c r="N1723" s="75"/>
      <c r="O1723" s="75"/>
      <c r="P1723" s="134" t="str">
        <f>IF(AND('331-CT'!$E$7=TH!H1723,OR(N1723="331",O1723="331")),"x","")</f>
        <v/>
      </c>
    </row>
    <row r="1724" spans="1:16" ht="18" hidden="1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122"/>
      <c r="J1724" s="122"/>
      <c r="K1724" s="122"/>
      <c r="L1724" s="122"/>
      <c r="M1724" s="74"/>
      <c r="N1724" s="75"/>
      <c r="O1724" s="75"/>
      <c r="P1724" s="134" t="str">
        <f>IF(AND('331-CT'!$E$7=TH!H1724,OR(N1724="331",O1724="331")),"x","")</f>
        <v/>
      </c>
    </row>
    <row r="1725" spans="1:16" ht="18" hidden="1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122"/>
      <c r="J1725" s="122"/>
      <c r="K1725" s="122"/>
      <c r="L1725" s="122"/>
      <c r="M1725" s="74"/>
      <c r="N1725" s="75"/>
      <c r="O1725" s="75"/>
      <c r="P1725" s="134" t="str">
        <f>IF(AND('331-CT'!$E$7=TH!H1725,OR(N1725="331",O1725="331")),"x","")</f>
        <v/>
      </c>
    </row>
    <row r="1726" spans="1:16" ht="18" hidden="1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122"/>
      <c r="J1726" s="122"/>
      <c r="K1726" s="122"/>
      <c r="L1726" s="122"/>
      <c r="M1726" s="74"/>
      <c r="N1726" s="75"/>
      <c r="O1726" s="75"/>
      <c r="P1726" s="134" t="str">
        <f>IF(AND('331-CT'!$E$7=TH!H1726,OR(N1726="331",O1726="331")),"x","")</f>
        <v/>
      </c>
    </row>
    <row r="1727" spans="1:16" ht="18" hidden="1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122"/>
      <c r="J1727" s="122"/>
      <c r="K1727" s="122"/>
      <c r="L1727" s="122"/>
      <c r="M1727" s="74"/>
      <c r="N1727" s="75"/>
      <c r="O1727" s="75"/>
      <c r="P1727" s="134" t="str">
        <f>IF(AND('331-CT'!$E$7=TH!H1727,OR(N1727="331",O1727="331")),"x","")</f>
        <v/>
      </c>
    </row>
    <row r="1728" spans="1:16" ht="18" hidden="1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122"/>
      <c r="J1728" s="122"/>
      <c r="K1728" s="122"/>
      <c r="L1728" s="122"/>
      <c r="M1728" s="74"/>
      <c r="N1728" s="75"/>
      <c r="O1728" s="75"/>
      <c r="P1728" s="134" t="str">
        <f>IF(AND('331-CT'!$E$7=TH!H1728,OR(N1728="331",O1728="331")),"x","")</f>
        <v/>
      </c>
    </row>
    <row r="1729" spans="1:16" ht="18" hidden="1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122"/>
      <c r="J1729" s="122"/>
      <c r="K1729" s="122"/>
      <c r="L1729" s="122"/>
      <c r="M1729" s="74"/>
      <c r="N1729" s="75"/>
      <c r="O1729" s="75"/>
      <c r="P1729" s="134" t="str">
        <f>IF(AND('331-CT'!$E$7=TH!H1729,OR(N1729="331",O1729="331")),"x","")</f>
        <v/>
      </c>
    </row>
    <row r="1730" spans="1:16" ht="18" hidden="1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122"/>
      <c r="J1730" s="122"/>
      <c r="K1730" s="122"/>
      <c r="L1730" s="122"/>
      <c r="M1730" s="74"/>
      <c r="N1730" s="75"/>
      <c r="O1730" s="75"/>
      <c r="P1730" s="134" t="str">
        <f>IF(AND('331-CT'!$E$7=TH!H1730,OR(N1730="331",O1730="331")),"x","")</f>
        <v/>
      </c>
    </row>
    <row r="1731" spans="1:16" ht="18" hidden="1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122"/>
      <c r="J1731" s="122"/>
      <c r="K1731" s="122"/>
      <c r="L1731" s="122"/>
      <c r="M1731" s="74"/>
      <c r="N1731" s="75"/>
      <c r="O1731" s="75"/>
      <c r="P1731" s="134" t="str">
        <f>IF(AND('331-CT'!$E$7=TH!H1731,OR(N1731="331",O1731="331")),"x","")</f>
        <v/>
      </c>
    </row>
    <row r="1732" spans="1:16" ht="18" hidden="1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122"/>
      <c r="J1732" s="122"/>
      <c r="K1732" s="122"/>
      <c r="L1732" s="122"/>
      <c r="M1732" s="74"/>
      <c r="N1732" s="75"/>
      <c r="O1732" s="75"/>
      <c r="P1732" s="134" t="str">
        <f>IF(AND('331-CT'!$E$7=TH!H1732,OR(N1732="331",O1732="331")),"x","")</f>
        <v/>
      </c>
    </row>
    <row r="1733" spans="1:16" ht="18" hidden="1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122"/>
      <c r="J1733" s="122"/>
      <c r="K1733" s="122"/>
      <c r="L1733" s="122"/>
      <c r="M1733" s="74"/>
      <c r="N1733" s="75"/>
      <c r="O1733" s="75"/>
      <c r="P1733" s="134" t="str">
        <f>IF(AND('331-CT'!$E$7=TH!H1733,OR(N1733="331",O1733="331")),"x","")</f>
        <v/>
      </c>
    </row>
    <row r="1734" spans="1:16" ht="18" hidden="1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122"/>
      <c r="J1734" s="122"/>
      <c r="K1734" s="122"/>
      <c r="L1734" s="122"/>
      <c r="M1734" s="74"/>
      <c r="N1734" s="75"/>
      <c r="O1734" s="75"/>
      <c r="P1734" s="134" t="str">
        <f>IF(AND('331-CT'!$E$7=TH!H1734,OR(N1734="331",O1734="331")),"x","")</f>
        <v/>
      </c>
    </row>
    <row r="1735" spans="1:16" ht="18" hidden="1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122"/>
      <c r="J1735" s="122"/>
      <c r="K1735" s="122"/>
      <c r="L1735" s="122"/>
      <c r="M1735" s="74"/>
      <c r="N1735" s="75"/>
      <c r="O1735" s="75"/>
      <c r="P1735" s="134" t="str">
        <f>IF(AND('331-CT'!$E$7=TH!H1735,OR(N1735="331",O1735="331")),"x","")</f>
        <v/>
      </c>
    </row>
    <row r="1736" spans="1:16" ht="18" hidden="1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122"/>
      <c r="J1736" s="122"/>
      <c r="K1736" s="122"/>
      <c r="L1736" s="122"/>
      <c r="M1736" s="74"/>
      <c r="N1736" s="75"/>
      <c r="O1736" s="75"/>
      <c r="P1736" s="134" t="str">
        <f>IF(AND('331-CT'!$E$7=TH!H1736,OR(N1736="331",O1736="331")),"x","")</f>
        <v/>
      </c>
    </row>
    <row r="1737" spans="1:16" ht="18" hidden="1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122"/>
      <c r="J1737" s="122"/>
      <c r="K1737" s="122"/>
      <c r="L1737" s="122"/>
      <c r="M1737" s="74"/>
      <c r="N1737" s="75"/>
      <c r="O1737" s="75"/>
      <c r="P1737" s="134" t="str">
        <f>IF(AND('331-CT'!$E$7=TH!H1737,OR(N1737="331",O1737="331")),"x","")</f>
        <v/>
      </c>
    </row>
    <row r="1738" spans="1:16" ht="18" hidden="1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122"/>
      <c r="J1738" s="122"/>
      <c r="K1738" s="122"/>
      <c r="L1738" s="122"/>
      <c r="M1738" s="74"/>
      <c r="N1738" s="75"/>
      <c r="O1738" s="75"/>
      <c r="P1738" s="134" t="str">
        <f>IF(AND('331-CT'!$E$7=TH!H1738,OR(N1738="331",O1738="331")),"x","")</f>
        <v/>
      </c>
    </row>
    <row r="1739" spans="1:16" ht="18" hidden="1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122"/>
      <c r="J1739" s="122"/>
      <c r="K1739" s="122"/>
      <c r="L1739" s="122"/>
      <c r="M1739" s="74"/>
      <c r="N1739" s="75"/>
      <c r="O1739" s="75"/>
      <c r="P1739" s="134" t="str">
        <f>IF(AND('331-CT'!$E$7=TH!H1739,OR(N1739="331",O1739="331")),"x","")</f>
        <v/>
      </c>
    </row>
    <row r="1740" spans="1:16" ht="18" hidden="1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122"/>
      <c r="J1740" s="122"/>
      <c r="K1740" s="122"/>
      <c r="L1740" s="122"/>
      <c r="M1740" s="74"/>
      <c r="N1740" s="75"/>
      <c r="O1740" s="75"/>
      <c r="P1740" s="134" t="str">
        <f>IF(AND('331-CT'!$E$7=TH!H1740,OR(N1740="331",O1740="331")),"x","")</f>
        <v/>
      </c>
    </row>
    <row r="1741" spans="1:16" ht="18" hidden="1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122"/>
      <c r="J1741" s="122"/>
      <c r="K1741" s="122"/>
      <c r="L1741" s="122"/>
      <c r="M1741" s="74"/>
      <c r="N1741" s="75"/>
      <c r="O1741" s="75"/>
      <c r="P1741" s="134" t="str">
        <f>IF(AND('331-CT'!$E$7=TH!H1741,OR(N1741="331",O1741="331")),"x","")</f>
        <v/>
      </c>
    </row>
    <row r="1742" spans="1:16" ht="18" hidden="1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122"/>
      <c r="J1742" s="122"/>
      <c r="K1742" s="122"/>
      <c r="L1742" s="122"/>
      <c r="M1742" s="74"/>
      <c r="N1742" s="75"/>
      <c r="O1742" s="75"/>
      <c r="P1742" s="134" t="str">
        <f>IF(AND('331-CT'!$E$7=TH!H1742,OR(N1742="331",O1742="331")),"x","")</f>
        <v/>
      </c>
    </row>
    <row r="1743" spans="1:16" ht="18" hidden="1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122"/>
      <c r="J1743" s="122"/>
      <c r="K1743" s="122"/>
      <c r="L1743" s="122"/>
      <c r="M1743" s="74"/>
      <c r="N1743" s="75"/>
      <c r="O1743" s="75"/>
      <c r="P1743" s="134" t="str">
        <f>IF(AND('331-CT'!$E$7=TH!H1743,OR(N1743="331",O1743="331")),"x","")</f>
        <v/>
      </c>
    </row>
    <row r="1744" spans="1:16" ht="18" hidden="1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122"/>
      <c r="J1744" s="122"/>
      <c r="K1744" s="122"/>
      <c r="L1744" s="122"/>
      <c r="M1744" s="74"/>
      <c r="N1744" s="75"/>
      <c r="O1744" s="75"/>
      <c r="P1744" s="134" t="str">
        <f>IF(AND('331-CT'!$E$7=TH!H1744,OR(N1744="331",O1744="331")),"x","")</f>
        <v/>
      </c>
    </row>
    <row r="1745" spans="1:16" ht="18" hidden="1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122"/>
      <c r="J1745" s="122"/>
      <c r="K1745" s="122"/>
      <c r="L1745" s="122"/>
      <c r="M1745" s="74"/>
      <c r="N1745" s="75"/>
      <c r="O1745" s="75"/>
      <c r="P1745" s="134" t="str">
        <f>IF(AND('331-CT'!$E$7=TH!H1745,OR(N1745="331",O1745="331")),"x","")</f>
        <v/>
      </c>
    </row>
    <row r="1746" spans="1:16" ht="18" hidden="1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122"/>
      <c r="J1746" s="122"/>
      <c r="K1746" s="122"/>
      <c r="L1746" s="122"/>
      <c r="M1746" s="74"/>
      <c r="N1746" s="75"/>
      <c r="O1746" s="75"/>
      <c r="P1746" s="134" t="str">
        <f>IF(AND('331-CT'!$E$7=TH!H1746,OR(N1746="331",O1746="331")),"x","")</f>
        <v/>
      </c>
    </row>
    <row r="1747" spans="1:16" ht="18" hidden="1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122"/>
      <c r="J1747" s="122"/>
      <c r="K1747" s="122"/>
      <c r="L1747" s="122"/>
      <c r="M1747" s="74"/>
      <c r="N1747" s="75"/>
      <c r="O1747" s="75"/>
      <c r="P1747" s="134" t="str">
        <f>IF(AND('331-CT'!$E$7=TH!H1747,OR(N1747="331",O1747="331")),"x","")</f>
        <v/>
      </c>
    </row>
    <row r="1748" spans="1:16" ht="18" hidden="1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122"/>
      <c r="J1748" s="122"/>
      <c r="K1748" s="122"/>
      <c r="L1748" s="122"/>
      <c r="M1748" s="74"/>
      <c r="N1748" s="75"/>
      <c r="O1748" s="75"/>
      <c r="P1748" s="134" t="str">
        <f>IF(AND('331-CT'!$E$7=TH!H1748,OR(N1748="331",O1748="331")),"x","")</f>
        <v/>
      </c>
    </row>
    <row r="1749" spans="1:16" ht="18" hidden="1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122"/>
      <c r="J1749" s="122"/>
      <c r="K1749" s="122"/>
      <c r="L1749" s="122"/>
      <c r="M1749" s="74"/>
      <c r="N1749" s="75"/>
      <c r="O1749" s="75"/>
      <c r="P1749" s="134" t="str">
        <f>IF(AND('331-CT'!$E$7=TH!H1749,OR(N1749="331",O1749="331")),"x","")</f>
        <v/>
      </c>
    </row>
    <row r="1750" spans="1:16" ht="18" hidden="1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122"/>
      <c r="J1750" s="122"/>
      <c r="K1750" s="122"/>
      <c r="L1750" s="122"/>
      <c r="M1750" s="74"/>
      <c r="N1750" s="75"/>
      <c r="O1750" s="75"/>
      <c r="P1750" s="134" t="str">
        <f>IF(AND('331-CT'!$E$7=TH!H1750,OR(N1750="331",O1750="331")),"x","")</f>
        <v/>
      </c>
    </row>
    <row r="1751" spans="1:16" ht="18" hidden="1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122"/>
      <c r="J1751" s="122"/>
      <c r="K1751" s="122"/>
      <c r="L1751" s="122"/>
      <c r="M1751" s="74"/>
      <c r="N1751" s="75"/>
      <c r="O1751" s="75"/>
      <c r="P1751" s="134" t="str">
        <f>IF(AND('331-CT'!$E$7=TH!H1751,OR(N1751="331",O1751="331")),"x","")</f>
        <v/>
      </c>
    </row>
    <row r="1752" spans="1:16" ht="18" hidden="1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122"/>
      <c r="J1752" s="122"/>
      <c r="K1752" s="122"/>
      <c r="L1752" s="122"/>
      <c r="M1752" s="74"/>
      <c r="N1752" s="75"/>
      <c r="O1752" s="75"/>
      <c r="P1752" s="134" t="str">
        <f>IF(AND('331-CT'!$E$7=TH!H1752,OR(N1752="331",O1752="331")),"x","")</f>
        <v/>
      </c>
    </row>
    <row r="1753" spans="1:16" ht="18" hidden="1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122"/>
      <c r="J1753" s="122"/>
      <c r="K1753" s="122"/>
      <c r="L1753" s="122"/>
      <c r="M1753" s="74"/>
      <c r="N1753" s="75"/>
      <c r="O1753" s="75"/>
      <c r="P1753" s="134" t="str">
        <f>IF(AND('331-CT'!$E$7=TH!H1753,OR(N1753="331",O1753="331")),"x","")</f>
        <v/>
      </c>
    </row>
    <row r="1754" spans="1:16" ht="18" hidden="1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122"/>
      <c r="J1754" s="122"/>
      <c r="K1754" s="122"/>
      <c r="L1754" s="122"/>
      <c r="M1754" s="74"/>
      <c r="N1754" s="75"/>
      <c r="O1754" s="75"/>
      <c r="P1754" s="134" t="str">
        <f>IF(AND('331-CT'!$E$7=TH!H1754,OR(N1754="331",O1754="331")),"x","")</f>
        <v/>
      </c>
    </row>
    <row r="1755" spans="1:16" ht="18" hidden="1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122"/>
      <c r="J1755" s="122"/>
      <c r="K1755" s="122"/>
      <c r="L1755" s="122"/>
      <c r="M1755" s="74"/>
      <c r="N1755" s="75"/>
      <c r="O1755" s="75"/>
      <c r="P1755" s="134" t="str">
        <f>IF(AND('331-CT'!$E$7=TH!H1755,OR(N1755="331",O1755="331")),"x","")</f>
        <v/>
      </c>
    </row>
    <row r="1756" spans="1:16" ht="18" hidden="1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122"/>
      <c r="J1756" s="122"/>
      <c r="K1756" s="122"/>
      <c r="L1756" s="122"/>
      <c r="M1756" s="74"/>
      <c r="N1756" s="75"/>
      <c r="O1756" s="75"/>
      <c r="P1756" s="134" t="str">
        <f>IF(AND('331-CT'!$E$7=TH!H1756,OR(N1756="331",O1756="331")),"x","")</f>
        <v/>
      </c>
    </row>
    <row r="1757" spans="1:16" ht="18" hidden="1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122"/>
      <c r="J1757" s="122"/>
      <c r="K1757" s="122"/>
      <c r="L1757" s="122"/>
      <c r="M1757" s="74"/>
      <c r="N1757" s="75"/>
      <c r="O1757" s="75"/>
      <c r="P1757" s="134" t="str">
        <f>IF(AND('331-CT'!$E$7=TH!H1757,OR(N1757="331",O1757="331")),"x","")</f>
        <v/>
      </c>
    </row>
    <row r="1758" spans="1:16" ht="18" hidden="1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122"/>
      <c r="J1758" s="122"/>
      <c r="K1758" s="122"/>
      <c r="L1758" s="122"/>
      <c r="M1758" s="74"/>
      <c r="N1758" s="75"/>
      <c r="O1758" s="75"/>
      <c r="P1758" s="134" t="str">
        <f>IF(AND('331-CT'!$E$7=TH!H1758,OR(N1758="331",O1758="331")),"x","")</f>
        <v/>
      </c>
    </row>
    <row r="1759" spans="1:16" ht="18" hidden="1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122"/>
      <c r="J1759" s="122"/>
      <c r="K1759" s="122"/>
      <c r="L1759" s="122"/>
      <c r="M1759" s="74"/>
      <c r="N1759" s="75"/>
      <c r="O1759" s="75"/>
      <c r="P1759" s="134" t="str">
        <f>IF(AND('331-CT'!$E$7=TH!H1759,OR(N1759="331",O1759="331")),"x","")</f>
        <v/>
      </c>
    </row>
    <row r="1760" spans="1:16" ht="18" hidden="1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122"/>
      <c r="J1760" s="122"/>
      <c r="K1760" s="122"/>
      <c r="L1760" s="122"/>
      <c r="M1760" s="74"/>
      <c r="N1760" s="75"/>
      <c r="O1760" s="75"/>
      <c r="P1760" s="134" t="str">
        <f>IF(AND('331-CT'!$E$7=TH!H1760,OR(N1760="331",O1760="331")),"x","")</f>
        <v/>
      </c>
    </row>
    <row r="1761" spans="1:16" ht="18" hidden="1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122"/>
      <c r="J1761" s="122"/>
      <c r="K1761" s="122"/>
      <c r="L1761" s="122"/>
      <c r="M1761" s="74"/>
      <c r="N1761" s="75"/>
      <c r="O1761" s="75"/>
      <c r="P1761" s="134" t="str">
        <f>IF(AND('331-CT'!$E$7=TH!H1761,OR(N1761="331",O1761="331")),"x","")</f>
        <v/>
      </c>
    </row>
    <row r="1762" spans="1:16" ht="18" hidden="1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122"/>
      <c r="J1762" s="122"/>
      <c r="K1762" s="122"/>
      <c r="L1762" s="122"/>
      <c r="M1762" s="74"/>
      <c r="N1762" s="75"/>
      <c r="O1762" s="75"/>
      <c r="P1762" s="134" t="str">
        <f>IF(AND('331-CT'!$E$7=TH!H1762,OR(N1762="331",O1762="331")),"x","")</f>
        <v/>
      </c>
    </row>
    <row r="1763" spans="1:16" ht="18" hidden="1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122"/>
      <c r="J1763" s="122"/>
      <c r="K1763" s="122"/>
      <c r="L1763" s="122"/>
      <c r="M1763" s="74"/>
      <c r="N1763" s="75"/>
      <c r="O1763" s="75"/>
      <c r="P1763" s="134" t="str">
        <f>IF(AND('331-CT'!$E$7=TH!H1763,OR(N1763="331",O1763="331")),"x","")</f>
        <v/>
      </c>
    </row>
    <row r="1764" spans="1:16" ht="18" hidden="1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122"/>
      <c r="J1764" s="122"/>
      <c r="K1764" s="122"/>
      <c r="L1764" s="122"/>
      <c r="M1764" s="74"/>
      <c r="N1764" s="75"/>
      <c r="O1764" s="75"/>
      <c r="P1764" s="134" t="str">
        <f>IF(AND('331-CT'!$E$7=TH!H1764,OR(N1764="331",O1764="331")),"x","")</f>
        <v/>
      </c>
    </row>
    <row r="1765" spans="1:16" ht="18" hidden="1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122"/>
      <c r="J1765" s="122"/>
      <c r="K1765" s="122"/>
      <c r="L1765" s="122"/>
      <c r="M1765" s="74"/>
      <c r="N1765" s="75"/>
      <c r="O1765" s="75"/>
      <c r="P1765" s="134" t="str">
        <f>IF(AND('331-CT'!$E$7=TH!H1765,OR(N1765="331",O1765="331")),"x","")</f>
        <v/>
      </c>
    </row>
    <row r="1766" spans="1:16" ht="18" hidden="1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122"/>
      <c r="J1766" s="122"/>
      <c r="K1766" s="122"/>
      <c r="L1766" s="122"/>
      <c r="M1766" s="74"/>
      <c r="N1766" s="75"/>
      <c r="O1766" s="75"/>
      <c r="P1766" s="134" t="str">
        <f>IF(AND('331-CT'!$E$7=TH!H1766,OR(N1766="331",O1766="331")),"x","")</f>
        <v/>
      </c>
    </row>
    <row r="1767" spans="1:16" ht="18" hidden="1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122"/>
      <c r="J1767" s="122"/>
      <c r="K1767" s="122"/>
      <c r="L1767" s="122"/>
      <c r="M1767" s="74"/>
      <c r="N1767" s="75"/>
      <c r="O1767" s="75"/>
      <c r="P1767" s="134" t="str">
        <f>IF(AND('331-CT'!$E$7=TH!H1767,OR(N1767="331",O1767="331")),"x","")</f>
        <v/>
      </c>
    </row>
    <row r="1768" spans="1:16" ht="18" hidden="1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122"/>
      <c r="J1768" s="122"/>
      <c r="K1768" s="122"/>
      <c r="L1768" s="122"/>
      <c r="M1768" s="74"/>
      <c r="N1768" s="75"/>
      <c r="O1768" s="75"/>
      <c r="P1768" s="134" t="str">
        <f>IF(AND('331-CT'!$E$7=TH!H1768,OR(N1768="331",O1768="331")),"x","")</f>
        <v/>
      </c>
    </row>
    <row r="1769" spans="1:16" ht="18" hidden="1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122"/>
      <c r="J1769" s="122"/>
      <c r="K1769" s="122"/>
      <c r="L1769" s="122"/>
      <c r="M1769" s="74"/>
      <c r="N1769" s="75"/>
      <c r="O1769" s="75"/>
      <c r="P1769" s="134" t="str">
        <f>IF(AND('331-CT'!$E$7=TH!H1769,OR(N1769="331",O1769="331")),"x","")</f>
        <v/>
      </c>
    </row>
    <row r="1770" spans="1:16" ht="18" hidden="1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122"/>
      <c r="J1770" s="122"/>
      <c r="K1770" s="122"/>
      <c r="L1770" s="122"/>
      <c r="M1770" s="74"/>
      <c r="N1770" s="75"/>
      <c r="O1770" s="75"/>
      <c r="P1770" s="134" t="str">
        <f>IF(AND('331-CT'!$E$7=TH!H1770,OR(N1770="331",O1770="331")),"x","")</f>
        <v/>
      </c>
    </row>
    <row r="1771" spans="1:16" ht="18" hidden="1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122"/>
      <c r="J1771" s="122"/>
      <c r="K1771" s="122"/>
      <c r="L1771" s="122"/>
      <c r="M1771" s="74"/>
      <c r="N1771" s="75"/>
      <c r="O1771" s="75"/>
      <c r="P1771" s="134" t="str">
        <f>IF(AND('331-CT'!$E$7=TH!H1771,OR(N1771="331",O1771="331")),"x","")</f>
        <v/>
      </c>
    </row>
    <row r="1772" spans="1:16" ht="18" hidden="1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122"/>
      <c r="J1772" s="122"/>
      <c r="K1772" s="122"/>
      <c r="L1772" s="122"/>
      <c r="M1772" s="74"/>
      <c r="N1772" s="75"/>
      <c r="O1772" s="75"/>
      <c r="P1772" s="134" t="str">
        <f>IF(AND('331-CT'!$E$7=TH!H1772,OR(N1772="331",O1772="331")),"x","")</f>
        <v/>
      </c>
    </row>
    <row r="1773" spans="1:16" ht="18" hidden="1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122"/>
      <c r="J1773" s="122"/>
      <c r="K1773" s="122"/>
      <c r="L1773" s="122"/>
      <c r="M1773" s="74"/>
      <c r="N1773" s="75"/>
      <c r="O1773" s="75"/>
      <c r="P1773" s="134" t="str">
        <f>IF(AND('331-CT'!$E$7=TH!H1773,OR(N1773="331",O1773="331")),"x","")</f>
        <v/>
      </c>
    </row>
    <row r="1774" spans="1:16" ht="18" hidden="1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122"/>
      <c r="J1774" s="122"/>
      <c r="K1774" s="122"/>
      <c r="L1774" s="122"/>
      <c r="M1774" s="74"/>
      <c r="N1774" s="75"/>
      <c r="O1774" s="75"/>
      <c r="P1774" s="134" t="str">
        <f>IF(AND('331-CT'!$E$7=TH!H1774,OR(N1774="331",O1774="331")),"x","")</f>
        <v/>
      </c>
    </row>
    <row r="1775" spans="1:16" ht="18" hidden="1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122"/>
      <c r="J1775" s="122"/>
      <c r="K1775" s="122"/>
      <c r="L1775" s="122"/>
      <c r="M1775" s="74"/>
      <c r="N1775" s="75"/>
      <c r="O1775" s="75"/>
      <c r="P1775" s="134" t="str">
        <f>IF(AND('331-CT'!$E$7=TH!H1775,OR(N1775="331",O1775="331")),"x","")</f>
        <v/>
      </c>
    </row>
    <row r="1776" spans="1:16" ht="18" hidden="1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122"/>
      <c r="J1776" s="122"/>
      <c r="K1776" s="122"/>
      <c r="L1776" s="122"/>
      <c r="M1776" s="74"/>
      <c r="N1776" s="75"/>
      <c r="O1776" s="75"/>
      <c r="P1776" s="134" t="str">
        <f>IF(AND('331-CT'!$E$7=TH!H1776,OR(N1776="331",O1776="331")),"x","")</f>
        <v/>
      </c>
    </row>
    <row r="1777" spans="1:16" ht="18" hidden="1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122"/>
      <c r="J1777" s="122"/>
      <c r="K1777" s="122"/>
      <c r="L1777" s="122"/>
      <c r="M1777" s="74"/>
      <c r="N1777" s="75"/>
      <c r="O1777" s="75"/>
      <c r="P1777" s="134" t="str">
        <f>IF(AND('331-CT'!$E$7=TH!H1777,OR(N1777="331",O1777="331")),"x","")</f>
        <v/>
      </c>
    </row>
    <row r="1778" spans="1:16" ht="18" hidden="1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122"/>
      <c r="J1778" s="122"/>
      <c r="K1778" s="122"/>
      <c r="L1778" s="122"/>
      <c r="M1778" s="74"/>
      <c r="N1778" s="75"/>
      <c r="O1778" s="75"/>
      <c r="P1778" s="134" t="str">
        <f>IF(AND('331-CT'!$E$7=TH!H1778,OR(N1778="331",O1778="331")),"x","")</f>
        <v/>
      </c>
    </row>
    <row r="1779" spans="1:16" ht="18" hidden="1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122"/>
      <c r="J1779" s="122"/>
      <c r="K1779" s="122"/>
      <c r="L1779" s="122"/>
      <c r="M1779" s="74"/>
      <c r="N1779" s="75"/>
      <c r="O1779" s="75"/>
      <c r="P1779" s="134" t="str">
        <f>IF(AND('331-CT'!$E$7=TH!H1779,OR(N1779="331",O1779="331")),"x","")</f>
        <v/>
      </c>
    </row>
    <row r="1780" spans="1:16" ht="18" hidden="1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122"/>
      <c r="J1780" s="122"/>
      <c r="K1780" s="122"/>
      <c r="L1780" s="122"/>
      <c r="M1780" s="74"/>
      <c r="N1780" s="75"/>
      <c r="O1780" s="75"/>
      <c r="P1780" s="134" t="str">
        <f>IF(AND('331-CT'!$E$7=TH!H1780,OR(N1780="331",O1780="331")),"x","")</f>
        <v/>
      </c>
    </row>
    <row r="1781" spans="1:16" ht="18" hidden="1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122"/>
      <c r="J1781" s="122"/>
      <c r="K1781" s="122"/>
      <c r="L1781" s="122"/>
      <c r="M1781" s="74"/>
      <c r="N1781" s="75"/>
      <c r="O1781" s="75"/>
      <c r="P1781" s="134" t="str">
        <f>IF(AND('331-CT'!$E$7=TH!H1781,OR(N1781="331",O1781="331")),"x","")</f>
        <v/>
      </c>
    </row>
    <row r="1782" spans="1:16" ht="18" hidden="1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122"/>
      <c r="J1782" s="122"/>
      <c r="K1782" s="122"/>
      <c r="L1782" s="122"/>
      <c r="M1782" s="74"/>
      <c r="N1782" s="75"/>
      <c r="O1782" s="75"/>
      <c r="P1782" s="134" t="str">
        <f>IF(AND('331-CT'!$E$7=TH!H1782,OR(N1782="331",O1782="331")),"x","")</f>
        <v/>
      </c>
    </row>
    <row r="1783" spans="1:16" ht="18" hidden="1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122"/>
      <c r="J1783" s="122"/>
      <c r="K1783" s="122"/>
      <c r="L1783" s="122"/>
      <c r="M1783" s="74"/>
      <c r="N1783" s="75"/>
      <c r="O1783" s="75"/>
      <c r="P1783" s="134" t="str">
        <f>IF(AND('331-CT'!$E$7=TH!H1783,OR(N1783="331",O1783="331")),"x","")</f>
        <v/>
      </c>
    </row>
    <row r="1784" spans="1:16" ht="18" hidden="1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122"/>
      <c r="J1784" s="122"/>
      <c r="K1784" s="122"/>
      <c r="L1784" s="122"/>
      <c r="M1784" s="74"/>
      <c r="N1784" s="75"/>
      <c r="O1784" s="75"/>
      <c r="P1784" s="134" t="str">
        <f>IF(AND('331-CT'!$E$7=TH!H1784,OR(N1784="331",O1784="331")),"x","")</f>
        <v/>
      </c>
    </row>
    <row r="1785" spans="1:16" ht="18" hidden="1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122"/>
      <c r="J1785" s="122"/>
      <c r="K1785" s="122"/>
      <c r="L1785" s="122"/>
      <c r="M1785" s="74"/>
      <c r="N1785" s="75"/>
      <c r="O1785" s="75"/>
      <c r="P1785" s="134" t="str">
        <f>IF(AND('331-CT'!$E$7=TH!H1785,OR(N1785="331",O1785="331")),"x","")</f>
        <v/>
      </c>
    </row>
    <row r="1786" spans="1:16" ht="18" hidden="1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122"/>
      <c r="J1786" s="122"/>
      <c r="K1786" s="122"/>
      <c r="L1786" s="122"/>
      <c r="M1786" s="74"/>
      <c r="N1786" s="75"/>
      <c r="O1786" s="75"/>
      <c r="P1786" s="134" t="str">
        <f>IF(AND('331-CT'!$E$7=TH!H1786,OR(N1786="331",O1786="331")),"x","")</f>
        <v/>
      </c>
    </row>
    <row r="1787" spans="1:16" ht="18" hidden="1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122"/>
      <c r="J1787" s="122"/>
      <c r="K1787" s="122"/>
      <c r="L1787" s="122"/>
      <c r="M1787" s="74"/>
      <c r="N1787" s="75"/>
      <c r="O1787" s="75"/>
      <c r="P1787" s="134" t="str">
        <f>IF(AND('331-CT'!$E$7=TH!H1787,OR(N1787="331",O1787="331")),"x","")</f>
        <v/>
      </c>
    </row>
    <row r="1788" spans="1:16" ht="18" hidden="1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122"/>
      <c r="J1788" s="122"/>
      <c r="K1788" s="122"/>
      <c r="L1788" s="122"/>
      <c r="M1788" s="74"/>
      <c r="N1788" s="75"/>
      <c r="O1788" s="75"/>
      <c r="P1788" s="134" t="str">
        <f>IF(AND('331-CT'!$E$7=TH!H1788,OR(N1788="331",O1788="331")),"x","")</f>
        <v/>
      </c>
    </row>
    <row r="1789" spans="1:16" ht="18" hidden="1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122"/>
      <c r="J1789" s="122"/>
      <c r="K1789" s="122"/>
      <c r="L1789" s="122"/>
      <c r="M1789" s="74"/>
      <c r="N1789" s="75"/>
      <c r="O1789" s="75"/>
      <c r="P1789" s="134" t="str">
        <f>IF(AND('331-CT'!$E$7=TH!H1789,OR(N1789="331",O1789="331")),"x","")</f>
        <v/>
      </c>
    </row>
    <row r="1790" spans="1:16" ht="18" hidden="1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122"/>
      <c r="J1790" s="122"/>
      <c r="K1790" s="122"/>
      <c r="L1790" s="122"/>
      <c r="M1790" s="74"/>
      <c r="N1790" s="75"/>
      <c r="O1790" s="75"/>
      <c r="P1790" s="134" t="str">
        <f>IF(AND('331-CT'!$E$7=TH!H1790,OR(N1790="331",O1790="331")),"x","")</f>
        <v/>
      </c>
    </row>
    <row r="1791" spans="1:16" ht="18" hidden="1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122"/>
      <c r="J1791" s="122"/>
      <c r="K1791" s="122"/>
      <c r="L1791" s="122"/>
      <c r="M1791" s="74"/>
      <c r="N1791" s="75"/>
      <c r="O1791" s="75"/>
      <c r="P1791" s="134" t="str">
        <f>IF(AND('331-CT'!$E$7=TH!H1791,OR(N1791="331",O1791="331")),"x","")</f>
        <v/>
      </c>
    </row>
    <row r="1792" spans="1:16" ht="18" hidden="1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122"/>
      <c r="J1792" s="122"/>
      <c r="K1792" s="122"/>
      <c r="L1792" s="122"/>
      <c r="M1792" s="74"/>
      <c r="N1792" s="75"/>
      <c r="O1792" s="75"/>
      <c r="P1792" s="134" t="str">
        <f>IF(AND('331-CT'!$E$7=TH!H1792,OR(N1792="331",O1792="331")),"x","")</f>
        <v/>
      </c>
    </row>
    <row r="1793" spans="1:16" ht="18" hidden="1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122"/>
      <c r="J1793" s="122"/>
      <c r="K1793" s="122"/>
      <c r="L1793" s="122"/>
      <c r="M1793" s="74"/>
      <c r="N1793" s="75"/>
      <c r="O1793" s="75"/>
      <c r="P1793" s="134" t="str">
        <f>IF(AND('331-CT'!$E$7=TH!H1793,OR(N1793="331",O1793="331")),"x","")</f>
        <v/>
      </c>
    </row>
    <row r="1794" spans="1:16" ht="18" hidden="1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122"/>
      <c r="J1794" s="122"/>
      <c r="K1794" s="122"/>
      <c r="L1794" s="122"/>
      <c r="M1794" s="74"/>
      <c r="N1794" s="75"/>
      <c r="O1794" s="75"/>
      <c r="P1794" s="134" t="str">
        <f>IF(AND('331-CT'!$E$7=TH!H1794,OR(N1794="331",O1794="331")),"x","")</f>
        <v/>
      </c>
    </row>
    <row r="1795" spans="1:16" ht="18" hidden="1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122"/>
      <c r="J1795" s="122"/>
      <c r="K1795" s="122"/>
      <c r="L1795" s="122"/>
      <c r="M1795" s="74"/>
      <c r="N1795" s="75"/>
      <c r="O1795" s="75"/>
      <c r="P1795" s="134" t="str">
        <f>IF(AND('331-CT'!$E$7=TH!H1795,OR(N1795="331",O1795="331")),"x","")</f>
        <v/>
      </c>
    </row>
    <row r="1796" spans="1:16" ht="18" hidden="1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122"/>
      <c r="J1796" s="122"/>
      <c r="K1796" s="122"/>
      <c r="L1796" s="122"/>
      <c r="M1796" s="74"/>
      <c r="N1796" s="75"/>
      <c r="O1796" s="75"/>
      <c r="P1796" s="134" t="str">
        <f>IF(AND('331-CT'!$E$7=TH!H1796,OR(N1796="331",O1796="331")),"x","")</f>
        <v/>
      </c>
    </row>
    <row r="1797" spans="1:16" ht="18" hidden="1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122"/>
      <c r="J1797" s="122"/>
      <c r="K1797" s="122"/>
      <c r="L1797" s="122"/>
      <c r="M1797" s="74"/>
      <c r="N1797" s="75"/>
      <c r="O1797" s="75"/>
      <c r="P1797" s="134" t="str">
        <f>IF(AND('331-CT'!$E$7=TH!H1797,OR(N1797="331",O1797="331")),"x","")</f>
        <v/>
      </c>
    </row>
    <row r="1798" spans="1:16" ht="18" hidden="1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122"/>
      <c r="J1798" s="122"/>
      <c r="K1798" s="122"/>
      <c r="L1798" s="122"/>
      <c r="M1798" s="74"/>
      <c r="N1798" s="75"/>
      <c r="O1798" s="75"/>
      <c r="P1798" s="134" t="str">
        <f>IF(AND('331-CT'!$E$7=TH!H1798,OR(N1798="331",O1798="331")),"x","")</f>
        <v/>
      </c>
    </row>
    <row r="1799" spans="1:16" ht="18" hidden="1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122"/>
      <c r="J1799" s="122"/>
      <c r="K1799" s="122"/>
      <c r="L1799" s="122"/>
      <c r="M1799" s="74"/>
      <c r="N1799" s="75"/>
      <c r="O1799" s="75"/>
      <c r="P1799" s="134" t="str">
        <f>IF(AND('331-CT'!$E$7=TH!H1799,OR(N1799="331",O1799="331")),"x","")</f>
        <v/>
      </c>
    </row>
    <row r="1800" spans="1:16" ht="18" hidden="1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122"/>
      <c r="J1800" s="122"/>
      <c r="K1800" s="122"/>
      <c r="L1800" s="122"/>
      <c r="M1800" s="74"/>
      <c r="N1800" s="75"/>
      <c r="O1800" s="75"/>
      <c r="P1800" s="134" t="str">
        <f>IF(AND('331-CT'!$E$7=TH!H1800,OR(N1800="331",O1800="331")),"x","")</f>
        <v/>
      </c>
    </row>
    <row r="1801" spans="1:16" ht="18" hidden="1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122"/>
      <c r="J1801" s="122"/>
      <c r="K1801" s="122"/>
      <c r="L1801" s="122"/>
      <c r="M1801" s="74"/>
      <c r="N1801" s="75"/>
      <c r="O1801" s="75"/>
      <c r="P1801" s="134" t="str">
        <f>IF(AND('331-CT'!$E$7=TH!H1801,OR(N1801="331",O1801="331")),"x","")</f>
        <v/>
      </c>
    </row>
    <row r="1802" spans="1:16" ht="18" hidden="1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122"/>
      <c r="J1802" s="122"/>
      <c r="K1802" s="122"/>
      <c r="L1802" s="122"/>
      <c r="M1802" s="74"/>
      <c r="N1802" s="75"/>
      <c r="O1802" s="75"/>
      <c r="P1802" s="134" t="str">
        <f>IF(AND('331-CT'!$E$7=TH!H1802,OR(N1802="331",O1802="331")),"x","")</f>
        <v/>
      </c>
    </row>
    <row r="1803" spans="1:16" ht="18" hidden="1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122"/>
      <c r="J1803" s="122"/>
      <c r="K1803" s="122"/>
      <c r="L1803" s="122"/>
      <c r="M1803" s="74"/>
      <c r="N1803" s="75"/>
      <c r="O1803" s="75"/>
      <c r="P1803" s="134" t="str">
        <f>IF(AND('331-CT'!$E$7=TH!H1803,OR(N1803="331",O1803="331")),"x","")</f>
        <v/>
      </c>
    </row>
    <row r="1804" spans="1:16" ht="18" hidden="1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122"/>
      <c r="J1804" s="122"/>
      <c r="K1804" s="122"/>
      <c r="L1804" s="122"/>
      <c r="M1804" s="74"/>
      <c r="N1804" s="75"/>
      <c r="O1804" s="75"/>
      <c r="P1804" s="134" t="str">
        <f>IF(AND('331-CT'!$E$7=TH!H1804,OR(N1804="331",O1804="331")),"x","")</f>
        <v/>
      </c>
    </row>
    <row r="1805" spans="1:16" ht="18" hidden="1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122"/>
      <c r="J1805" s="122"/>
      <c r="K1805" s="122"/>
      <c r="L1805" s="122"/>
      <c r="M1805" s="74"/>
      <c r="N1805" s="75"/>
      <c r="O1805" s="75"/>
      <c r="P1805" s="134" t="str">
        <f>IF(AND('331-CT'!$E$7=TH!H1805,OR(N1805="331",O1805="331")),"x","")</f>
        <v/>
      </c>
    </row>
    <row r="1806" spans="1:16" ht="18" hidden="1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122"/>
      <c r="J1806" s="122"/>
      <c r="K1806" s="122"/>
      <c r="L1806" s="122"/>
      <c r="M1806" s="74"/>
      <c r="N1806" s="75"/>
      <c r="O1806" s="75"/>
      <c r="P1806" s="134" t="str">
        <f>IF(AND('331-CT'!$E$7=TH!H1806,OR(N1806="331",O1806="331")),"x","")</f>
        <v/>
      </c>
    </row>
    <row r="1807" spans="1:16" ht="18" hidden="1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122"/>
      <c r="J1807" s="122"/>
      <c r="K1807" s="122"/>
      <c r="L1807" s="122"/>
      <c r="M1807" s="74"/>
      <c r="N1807" s="75"/>
      <c r="O1807" s="75"/>
      <c r="P1807" s="134" t="str">
        <f>IF(AND('331-CT'!$E$7=TH!H1807,OR(N1807="331",O1807="331")),"x","")</f>
        <v/>
      </c>
    </row>
    <row r="1808" spans="1:16" ht="18" hidden="1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122"/>
      <c r="J1808" s="122"/>
      <c r="K1808" s="122"/>
      <c r="L1808" s="122"/>
      <c r="M1808" s="74"/>
      <c r="N1808" s="75"/>
      <c r="O1808" s="75"/>
      <c r="P1808" s="134" t="str">
        <f>IF(AND('331-CT'!$E$7=TH!H1808,OR(N1808="331",O1808="331")),"x","")</f>
        <v/>
      </c>
    </row>
    <row r="1809" spans="1:16" ht="18" hidden="1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122"/>
      <c r="J1809" s="122"/>
      <c r="K1809" s="122"/>
      <c r="L1809" s="122"/>
      <c r="M1809" s="74"/>
      <c r="N1809" s="75"/>
      <c r="O1809" s="75"/>
      <c r="P1809" s="134" t="str">
        <f>IF(AND('331-CT'!$E$7=TH!H1809,OR(N1809="331",O1809="331")),"x","")</f>
        <v/>
      </c>
    </row>
    <row r="1810" spans="1:16" ht="18" hidden="1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122"/>
      <c r="J1810" s="122"/>
      <c r="K1810" s="122"/>
      <c r="L1810" s="122"/>
      <c r="M1810" s="74"/>
      <c r="N1810" s="75"/>
      <c r="O1810" s="75"/>
      <c r="P1810" s="134" t="str">
        <f>IF(AND('331-CT'!$E$7=TH!H1810,OR(N1810="331",O1810="331")),"x","")</f>
        <v/>
      </c>
    </row>
    <row r="1811" spans="1:16" ht="18" hidden="1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122"/>
      <c r="J1811" s="122"/>
      <c r="K1811" s="122"/>
      <c r="L1811" s="122"/>
      <c r="M1811" s="74"/>
      <c r="N1811" s="75"/>
      <c r="O1811" s="75"/>
      <c r="P1811" s="134" t="str">
        <f>IF(AND('331-CT'!$E$7=TH!H1811,OR(N1811="331",O1811="331")),"x","")</f>
        <v/>
      </c>
    </row>
    <row r="1812" spans="1:16" ht="18" hidden="1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122"/>
      <c r="J1812" s="122"/>
      <c r="K1812" s="122"/>
      <c r="L1812" s="122"/>
      <c r="M1812" s="74"/>
      <c r="N1812" s="75"/>
      <c r="O1812" s="75"/>
      <c r="P1812" s="134" t="str">
        <f>IF(AND('331-CT'!$E$7=TH!H1812,OR(N1812="331",O1812="331")),"x","")</f>
        <v/>
      </c>
    </row>
    <row r="1813" spans="1:16" ht="18" hidden="1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122"/>
      <c r="J1813" s="122"/>
      <c r="K1813" s="122"/>
      <c r="L1813" s="122"/>
      <c r="M1813" s="74"/>
      <c r="N1813" s="75"/>
      <c r="O1813" s="75"/>
      <c r="P1813" s="134" t="str">
        <f>IF(AND('331-CT'!$E$7=TH!H1813,OR(N1813="331",O1813="331")),"x","")</f>
        <v/>
      </c>
    </row>
    <row r="1814" spans="1:16" ht="18" hidden="1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122"/>
      <c r="J1814" s="122"/>
      <c r="K1814" s="122"/>
      <c r="L1814" s="122"/>
      <c r="M1814" s="74"/>
      <c r="N1814" s="75"/>
      <c r="O1814" s="75"/>
      <c r="P1814" s="134" t="str">
        <f>IF(AND('331-CT'!$E$7=TH!H1814,OR(N1814="331",O1814="331")),"x","")</f>
        <v/>
      </c>
    </row>
    <row r="1815" spans="1:16" ht="18" hidden="1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122"/>
      <c r="J1815" s="122"/>
      <c r="K1815" s="122"/>
      <c r="L1815" s="122"/>
      <c r="M1815" s="74"/>
      <c r="N1815" s="75"/>
      <c r="O1815" s="75"/>
      <c r="P1815" s="134" t="str">
        <f>IF(AND('331-CT'!$E$7=TH!H1815,OR(N1815="331",O1815="331")),"x","")</f>
        <v/>
      </c>
    </row>
    <row r="1816" spans="1:16" ht="18" hidden="1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122"/>
      <c r="J1816" s="122"/>
      <c r="K1816" s="122"/>
      <c r="L1816" s="122"/>
      <c r="M1816" s="74"/>
      <c r="N1816" s="75"/>
      <c r="O1816" s="75"/>
      <c r="P1816" s="134" t="str">
        <f>IF(AND('331-CT'!$E$7=TH!H1816,OR(N1816="331",O1816="331")),"x","")</f>
        <v/>
      </c>
    </row>
    <row r="1817" spans="1:16" ht="18" hidden="1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122"/>
      <c r="J1817" s="122"/>
      <c r="K1817" s="122"/>
      <c r="L1817" s="122"/>
      <c r="M1817" s="74"/>
      <c r="N1817" s="75"/>
      <c r="O1817" s="75"/>
      <c r="P1817" s="134" t="str">
        <f>IF(AND('331-CT'!$E$7=TH!H1817,OR(N1817="331",O1817="331")),"x","")</f>
        <v/>
      </c>
    </row>
    <row r="1818" spans="1:16" ht="18" hidden="1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122"/>
      <c r="J1818" s="122"/>
      <c r="K1818" s="122"/>
      <c r="L1818" s="122"/>
      <c r="M1818" s="74"/>
      <c r="N1818" s="75"/>
      <c r="O1818" s="75"/>
      <c r="P1818" s="134" t="str">
        <f>IF(AND('331-CT'!$E$7=TH!H1818,OR(N1818="331",O1818="331")),"x","")</f>
        <v/>
      </c>
    </row>
    <row r="1819" spans="1:16" ht="18" hidden="1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122"/>
      <c r="J1819" s="122"/>
      <c r="K1819" s="122"/>
      <c r="L1819" s="122"/>
      <c r="M1819" s="74"/>
      <c r="N1819" s="75"/>
      <c r="O1819" s="75"/>
      <c r="P1819" s="134" t="str">
        <f>IF(AND('331-CT'!$E$7=TH!H1819,OR(N1819="331",O1819="331")),"x","")</f>
        <v/>
      </c>
    </row>
    <row r="1820" spans="1:16" ht="18" hidden="1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122"/>
      <c r="J1820" s="122"/>
      <c r="K1820" s="122"/>
      <c r="L1820" s="122"/>
      <c r="M1820" s="74"/>
      <c r="N1820" s="75"/>
      <c r="O1820" s="75"/>
      <c r="P1820" s="134" t="str">
        <f>IF(AND('331-CT'!$E$7=TH!H1820,OR(N1820="331",O1820="331")),"x","")</f>
        <v/>
      </c>
    </row>
    <row r="1821" spans="1:16" ht="18" hidden="1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122"/>
      <c r="J1821" s="122"/>
      <c r="K1821" s="122"/>
      <c r="L1821" s="122"/>
      <c r="M1821" s="74"/>
      <c r="N1821" s="75"/>
      <c r="O1821" s="75"/>
      <c r="P1821" s="134" t="str">
        <f>IF(AND('331-CT'!$E$7=TH!H1821,OR(N1821="331",O1821="331")),"x","")</f>
        <v/>
      </c>
    </row>
    <row r="1822" spans="1:16" ht="18" hidden="1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122"/>
      <c r="J1822" s="122"/>
      <c r="K1822" s="122"/>
      <c r="L1822" s="122"/>
      <c r="M1822" s="74"/>
      <c r="N1822" s="75"/>
      <c r="O1822" s="75"/>
      <c r="P1822" s="134" t="str">
        <f>IF(AND('331-CT'!$E$7=TH!H1822,OR(N1822="331",O1822="331")),"x","")</f>
        <v/>
      </c>
    </row>
    <row r="1823" spans="1:16" ht="18" hidden="1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122"/>
      <c r="J1823" s="122"/>
      <c r="K1823" s="122"/>
      <c r="L1823" s="122"/>
      <c r="M1823" s="74"/>
      <c r="N1823" s="75"/>
      <c r="O1823" s="75"/>
      <c r="P1823" s="134" t="str">
        <f>IF(AND('331-CT'!$E$7=TH!H1823,OR(N1823="331",O1823="331")),"x","")</f>
        <v/>
      </c>
    </row>
    <row r="1824" spans="1:16" ht="18" hidden="1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122"/>
      <c r="J1824" s="122"/>
      <c r="K1824" s="122"/>
      <c r="L1824" s="122"/>
      <c r="M1824" s="74"/>
      <c r="N1824" s="75"/>
      <c r="O1824" s="75"/>
      <c r="P1824" s="134" t="str">
        <f>IF(AND('331-CT'!$E$7=TH!H1824,OR(N1824="331",O1824="331")),"x","")</f>
        <v/>
      </c>
    </row>
    <row r="1825" spans="1:16" ht="18" hidden="1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122"/>
      <c r="J1825" s="122"/>
      <c r="K1825" s="122"/>
      <c r="L1825" s="122"/>
      <c r="M1825" s="74"/>
      <c r="N1825" s="75"/>
      <c r="O1825" s="75"/>
      <c r="P1825" s="134" t="str">
        <f>IF(AND('331-CT'!$E$7=TH!H1825,OR(N1825="331",O1825="331")),"x","")</f>
        <v/>
      </c>
    </row>
    <row r="1826" spans="1:16" ht="18" hidden="1" customHeight="1">
      <c r="A1826" s="72" t="str">
        <f t="shared" ref="A1826:A1829" si="73">IF(C1826&lt;&gt;"",YEAR(C1826),"")</f>
        <v/>
      </c>
      <c r="B1826" s="72" t="str">
        <f t="shared" ref="B1826:B1829" si="74">IF(C1826&lt;&gt;"",MONTH(C1826),"")</f>
        <v/>
      </c>
      <c r="C1826" s="73"/>
      <c r="D1826" s="73"/>
      <c r="E1826" s="73"/>
      <c r="F1826" s="76"/>
      <c r="G1826" s="265"/>
      <c r="H1826" s="122"/>
      <c r="I1826" s="122"/>
      <c r="J1826" s="122"/>
      <c r="K1826" s="122"/>
      <c r="L1826" s="122"/>
      <c r="M1826" s="74"/>
      <c r="N1826" s="75"/>
      <c r="O1826" s="75"/>
      <c r="P1826" s="134" t="str">
        <f>IF(AND('331-CT'!$E$7=TH!H1826,OR(N1826="331",O1826="331")),"x","")</f>
        <v/>
      </c>
    </row>
    <row r="1827" spans="1:16" ht="18" hidden="1" customHeight="1">
      <c r="A1827" s="72" t="str">
        <f t="shared" si="73"/>
        <v/>
      </c>
      <c r="B1827" s="72" t="str">
        <f t="shared" si="74"/>
        <v/>
      </c>
      <c r="C1827" s="73"/>
      <c r="D1827" s="73"/>
      <c r="E1827" s="73"/>
      <c r="F1827" s="76"/>
      <c r="G1827" s="265"/>
      <c r="H1827" s="122"/>
      <c r="I1827" s="122"/>
      <c r="J1827" s="122"/>
      <c r="K1827" s="122"/>
      <c r="L1827" s="122"/>
      <c r="M1827" s="74"/>
      <c r="N1827" s="75"/>
      <c r="O1827" s="75"/>
      <c r="P1827" s="134" t="str">
        <f>IF(AND('331-CT'!$E$7=TH!H1827,OR(N1827="331",O1827="331")),"x","")</f>
        <v/>
      </c>
    </row>
    <row r="1828" spans="1:16" ht="18" hidden="1" customHeight="1">
      <c r="A1828" s="72" t="str">
        <f t="shared" si="73"/>
        <v/>
      </c>
      <c r="B1828" s="72" t="str">
        <f t="shared" si="74"/>
        <v/>
      </c>
      <c r="C1828" s="73"/>
      <c r="D1828" s="73"/>
      <c r="E1828" s="73"/>
      <c r="F1828" s="76"/>
      <c r="G1828" s="265"/>
      <c r="H1828" s="122"/>
      <c r="I1828" s="122"/>
      <c r="J1828" s="122"/>
      <c r="K1828" s="122"/>
      <c r="L1828" s="122"/>
      <c r="M1828" s="74"/>
      <c r="N1828" s="75"/>
      <c r="O1828" s="75"/>
      <c r="P1828" s="134" t="str">
        <f>IF(AND('331-CT'!$E$7=TH!H1828,OR(N1828="331",O1828="331")),"x","")</f>
        <v/>
      </c>
    </row>
    <row r="1829" spans="1:16" ht="18" hidden="1" customHeight="1">
      <c r="A1829" s="438" t="str">
        <f t="shared" si="73"/>
        <v/>
      </c>
      <c r="B1829" s="438" t="str">
        <f t="shared" si="74"/>
        <v/>
      </c>
      <c r="C1829" s="439"/>
      <c r="D1829" s="439"/>
      <c r="E1829" s="439"/>
      <c r="F1829" s="440"/>
      <c r="G1829" s="441"/>
      <c r="H1829" s="442"/>
      <c r="I1829" s="442"/>
      <c r="J1829" s="442"/>
      <c r="K1829" s="442"/>
      <c r="L1829" s="442"/>
      <c r="M1829" s="443"/>
      <c r="N1829" s="444"/>
      <c r="O1829" s="444"/>
      <c r="P1829" s="445" t="str">
        <f>IF(AND('331-CT'!$E$7=TH!H1829,OR(N1829="331",O1829="331")),"x","")</f>
        <v/>
      </c>
    </row>
    <row r="1830" spans="1:16" s="449" customFormat="1" ht="18" customHeight="1">
      <c r="A1830" s="475" t="s">
        <v>1308</v>
      </c>
      <c r="B1830" s="476"/>
      <c r="C1830" s="476"/>
      <c r="D1830" s="476"/>
      <c r="E1830" s="476"/>
      <c r="F1830" s="476"/>
      <c r="G1830" s="477"/>
      <c r="H1830" s="446"/>
      <c r="I1830" s="446"/>
      <c r="J1830" s="446"/>
      <c r="K1830" s="446"/>
      <c r="L1830" s="446"/>
      <c r="M1830" s="447">
        <f>SUBTOTAL(9,M10:M1828)</f>
        <v>4415000000</v>
      </c>
      <c r="N1830" s="448"/>
      <c r="O1830" s="448"/>
      <c r="P1830" s="448"/>
    </row>
  </sheetData>
  <autoFilter ref="A9:Q1829">
    <filterColumn colId="7">
      <filters>
        <filter val="Cty TNHH Kỹ Thuật Cơ Điện M &amp; E"/>
      </filters>
    </filterColumn>
  </autoFilter>
  <sortState ref="A843:M949">
    <sortCondition ref="C843:C949"/>
  </sortState>
  <mergeCells count="13">
    <mergeCell ref="A1830:G1830"/>
    <mergeCell ref="B7:B8"/>
    <mergeCell ref="A7:A8"/>
    <mergeCell ref="H7:H8"/>
    <mergeCell ref="P7:P8"/>
    <mergeCell ref="C4:O4"/>
    <mergeCell ref="C5:O5"/>
    <mergeCell ref="C7:C8"/>
    <mergeCell ref="D7:E7"/>
    <mergeCell ref="F7:F8"/>
    <mergeCell ref="M7:M8"/>
    <mergeCell ref="N7:O7"/>
    <mergeCell ref="G7:G8"/>
  </mergeCells>
  <pageMargins left="0.13" right="0.7" top="0.28000000000000003" bottom="0.16" header="0.3" footer="0.16"/>
  <pageSetup paperSize="9" scale="80" orientation="landscape" horizontalDpi="300" verticalDpi="300" r:id="rId1"/>
  <headerFooter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20" activePane="bottomLeft" state="frozen"/>
      <selection pane="bottomLeft" activeCell="E30" sqref="E30"/>
    </sheetView>
  </sheetViews>
  <sheetFormatPr defaultColWidth="9.140625" defaultRowHeight="30" customHeight="1"/>
  <cols>
    <col min="1" max="1" width="4.7109375" style="391" customWidth="1"/>
    <col min="2" max="2" width="12.7109375" style="390" customWidth="1"/>
    <col min="3" max="3" width="22.8554687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19.5" customHeight="1">
      <c r="A2" s="481" t="s">
        <v>79</v>
      </c>
      <c r="B2" s="482" t="s">
        <v>667</v>
      </c>
      <c r="C2" s="482" t="s">
        <v>668</v>
      </c>
      <c r="D2" s="482" t="s">
        <v>669</v>
      </c>
      <c r="E2" s="487" t="s">
        <v>875</v>
      </c>
      <c r="F2" s="488"/>
      <c r="G2" s="488"/>
      <c r="H2" s="488"/>
      <c r="I2" s="489"/>
      <c r="J2" s="493" t="s">
        <v>876</v>
      </c>
      <c r="K2" s="493"/>
      <c r="L2" s="493"/>
      <c r="M2" s="493"/>
      <c r="N2" s="482" t="s">
        <v>723</v>
      </c>
    </row>
    <row r="3" spans="1:15" ht="19.5" customHeight="1">
      <c r="A3" s="481"/>
      <c r="B3" s="484"/>
      <c r="C3" s="484"/>
      <c r="D3" s="484"/>
      <c r="E3" s="482" t="s">
        <v>670</v>
      </c>
      <c r="F3" s="485" t="s">
        <v>671</v>
      </c>
      <c r="G3" s="486"/>
      <c r="H3" s="482" t="s">
        <v>672</v>
      </c>
      <c r="I3" s="490" t="s">
        <v>1055</v>
      </c>
      <c r="J3" s="484" t="s">
        <v>670</v>
      </c>
      <c r="K3" s="484" t="s">
        <v>672</v>
      </c>
      <c r="L3" s="492" t="s">
        <v>1055</v>
      </c>
      <c r="M3" s="484" t="s">
        <v>1063</v>
      </c>
      <c r="N3" s="484"/>
    </row>
    <row r="4" spans="1:15" ht="32.25" customHeight="1">
      <c r="A4" s="481"/>
      <c r="B4" s="483"/>
      <c r="C4" s="483"/>
      <c r="D4" s="483"/>
      <c r="E4" s="483"/>
      <c r="F4" s="392" t="s">
        <v>881</v>
      </c>
      <c r="G4" s="392" t="s">
        <v>882</v>
      </c>
      <c r="H4" s="483"/>
      <c r="I4" s="491"/>
      <c r="J4" s="483"/>
      <c r="K4" s="483"/>
      <c r="L4" s="491"/>
      <c r="M4" s="483"/>
      <c r="N4" s="483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264168666</v>
      </c>
      <c r="H5" s="395">
        <f t="array" ref="H5">SUM(IF("331"&amp;C5=KHN&amp;KH,TH))</f>
        <v>264168666</v>
      </c>
      <c r="I5" s="422">
        <f>G5-H5</f>
        <v>0</v>
      </c>
      <c r="J5" s="395">
        <f>IF(E5&gt;G5,E5,G5)</f>
        <v>264168666</v>
      </c>
      <c r="K5" s="395">
        <f>H5</f>
        <v>264168666</v>
      </c>
      <c r="L5" s="422">
        <f>J5-K5</f>
        <v>0</v>
      </c>
      <c r="M5" s="395"/>
      <c r="N5" s="395">
        <f>IF(E5&gt;F5,E5,F5)</f>
        <v>0</v>
      </c>
      <c r="O5" s="396"/>
    </row>
    <row r="6" spans="1:15" ht="36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2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2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36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2">
        <f t="shared" si="2"/>
        <v>0</v>
      </c>
      <c r="J7" s="395">
        <f t="shared" si="3"/>
        <v>30800005</v>
      </c>
      <c r="K7" s="395">
        <f t="shared" si="4"/>
        <v>30800005</v>
      </c>
      <c r="L7" s="422">
        <f t="shared" si="5"/>
        <v>0</v>
      </c>
      <c r="M7" s="395"/>
      <c r="N7" s="395">
        <f t="shared" si="6"/>
        <v>28000005</v>
      </c>
      <c r="O7" s="396"/>
    </row>
    <row r="8" spans="1:15" ht="36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2">
        <f t="shared" si="2"/>
        <v>0</v>
      </c>
      <c r="J8" s="395">
        <f t="shared" si="3"/>
        <v>30440000</v>
      </c>
      <c r="K8" s="395">
        <f t="shared" si="4"/>
        <v>30440000</v>
      </c>
      <c r="L8" s="422">
        <f t="shared" si="5"/>
        <v>0</v>
      </c>
      <c r="M8" s="395"/>
      <c r="N8" s="395">
        <f t="shared" si="6"/>
        <v>30440000</v>
      </c>
      <c r="O8" s="396"/>
    </row>
    <row r="9" spans="1:15" ht="36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2">
        <f t="shared" si="2"/>
        <v>0</v>
      </c>
      <c r="J9" s="395">
        <f t="shared" si="3"/>
        <v>21610454</v>
      </c>
      <c r="K9" s="395">
        <f t="shared" si="4"/>
        <v>21610454</v>
      </c>
      <c r="L9" s="422">
        <f t="shared" si="5"/>
        <v>0</v>
      </c>
      <c r="M9" s="395"/>
      <c r="N9" s="395">
        <f t="shared" si="6"/>
        <v>19645867</v>
      </c>
      <c r="O9" s="396"/>
    </row>
    <row r="10" spans="1:15" ht="36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58213500</v>
      </c>
      <c r="G10" s="395">
        <f t="array" ref="G10">SUM(IF("331"&amp;C10=KHC&amp;KH,TH))</f>
        <v>64034850</v>
      </c>
      <c r="H10" s="395">
        <f t="array" ref="H10">SUM(IF("331"&amp;C10=KHN&amp;KH,TH))</f>
        <v>64034850</v>
      </c>
      <c r="I10" s="422">
        <f t="shared" si="2"/>
        <v>0</v>
      </c>
      <c r="J10" s="395">
        <f t="shared" si="3"/>
        <v>64034850</v>
      </c>
      <c r="K10" s="395">
        <f t="shared" si="4"/>
        <v>64034850</v>
      </c>
      <c r="L10" s="422">
        <f t="shared" si="5"/>
        <v>0</v>
      </c>
      <c r="M10" s="395"/>
      <c r="N10" s="395">
        <f t="shared" si="6"/>
        <v>58213500</v>
      </c>
      <c r="O10" s="396"/>
    </row>
    <row r="11" spans="1:15" ht="36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2">
        <f t="shared" si="2"/>
        <v>0</v>
      </c>
      <c r="J11" s="395">
        <f t="shared" si="3"/>
        <v>16327199</v>
      </c>
      <c r="K11" s="395">
        <f t="shared" si="4"/>
        <v>16327199</v>
      </c>
      <c r="L11" s="422">
        <f t="shared" si="5"/>
        <v>0</v>
      </c>
      <c r="M11" s="395"/>
      <c r="N11" s="395">
        <f t="shared" si="6"/>
        <v>16327199</v>
      </c>
      <c r="O11" s="396"/>
    </row>
    <row r="12" spans="1:15" ht="36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2">
        <f t="shared" si="2"/>
        <v>0</v>
      </c>
      <c r="J12" s="395">
        <f t="shared" si="3"/>
        <v>1587337400</v>
      </c>
      <c r="K12" s="395">
        <f t="shared" si="4"/>
        <v>1587337400</v>
      </c>
      <c r="L12" s="422">
        <f t="shared" si="5"/>
        <v>0</v>
      </c>
      <c r="M12" s="395"/>
      <c r="N12" s="395">
        <f t="shared" si="6"/>
        <v>1587337400</v>
      </c>
      <c r="O12" s="396"/>
    </row>
    <row r="13" spans="1:15" ht="36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2">
        <f t="shared" si="2"/>
        <v>0</v>
      </c>
      <c r="J13" s="395">
        <f t="shared" si="3"/>
        <v>289000000</v>
      </c>
      <c r="K13" s="395">
        <f t="shared" si="4"/>
        <v>289000000</v>
      </c>
      <c r="L13" s="422">
        <f t="shared" si="5"/>
        <v>0</v>
      </c>
      <c r="M13" s="395"/>
      <c r="N13" s="395">
        <f t="shared" si="6"/>
        <v>262727273</v>
      </c>
      <c r="O13" s="396"/>
    </row>
    <row r="14" spans="1:15" ht="36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2">
        <f t="shared" si="2"/>
        <v>0</v>
      </c>
      <c r="J14" s="395">
        <f t="shared" si="3"/>
        <v>150454066</v>
      </c>
      <c r="K14" s="395">
        <f t="shared" si="4"/>
        <v>150454066</v>
      </c>
      <c r="L14" s="422">
        <f t="shared" si="5"/>
        <v>0</v>
      </c>
      <c r="M14" s="395"/>
      <c r="N14" s="395">
        <f t="shared" si="6"/>
        <v>150126466</v>
      </c>
      <c r="O14" s="396"/>
    </row>
    <row r="15" spans="1:15" ht="36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2">
        <f t="shared" si="2"/>
        <v>0</v>
      </c>
      <c r="J15" s="395">
        <f t="shared" si="3"/>
        <v>53060000</v>
      </c>
      <c r="K15" s="395">
        <f t="shared" si="4"/>
        <v>53060000</v>
      </c>
      <c r="L15" s="422">
        <f t="shared" si="5"/>
        <v>0</v>
      </c>
      <c r="M15" s="395"/>
      <c r="N15" s="395">
        <f t="shared" si="6"/>
        <v>48236364</v>
      </c>
      <c r="O15" s="396"/>
    </row>
    <row r="16" spans="1:15" ht="36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2">
        <f t="shared" si="2"/>
        <v>-60000000</v>
      </c>
      <c r="J16" s="395">
        <f t="shared" si="3"/>
        <v>0</v>
      </c>
      <c r="K16" s="395">
        <f t="shared" si="4"/>
        <v>60000000</v>
      </c>
      <c r="L16" s="422">
        <f t="shared" si="5"/>
        <v>-60000000</v>
      </c>
      <c r="M16" s="395"/>
      <c r="N16" s="395">
        <f t="shared" si="6"/>
        <v>0</v>
      </c>
      <c r="O16" s="396"/>
    </row>
    <row r="17" spans="1:15" ht="36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288900000</v>
      </c>
      <c r="I17" s="422">
        <f t="shared" si="2"/>
        <v>199600000</v>
      </c>
      <c r="J17" s="395">
        <f t="shared" si="3"/>
        <v>488500000</v>
      </c>
      <c r="K17" s="395">
        <f t="shared" si="4"/>
        <v>288900000</v>
      </c>
      <c r="L17" s="422">
        <f t="shared" si="5"/>
        <v>199600000</v>
      </c>
      <c r="M17" s="395"/>
      <c r="N17" s="395">
        <f t="shared" si="6"/>
        <v>488500000</v>
      </c>
      <c r="O17" s="396"/>
    </row>
    <row r="18" spans="1:15" ht="36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2">
        <f t="shared" si="2"/>
        <v>0</v>
      </c>
      <c r="J18" s="395">
        <f>IF(E18&gt;G18,E18,G18)</f>
        <v>200000000</v>
      </c>
      <c r="K18" s="395">
        <f t="shared" si="4"/>
        <v>200000000</v>
      </c>
      <c r="L18" s="422">
        <f t="shared" si="5"/>
        <v>0</v>
      </c>
      <c r="M18" s="395"/>
      <c r="N18" s="395">
        <f t="shared" si="6"/>
        <v>200000000</v>
      </c>
      <c r="O18" s="396"/>
    </row>
    <row r="19" spans="1:15" ht="36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932705036</v>
      </c>
      <c r="G19" s="395">
        <f t="array" ref="G19">SUM(IF("331"&amp;C19=KHC&amp;KH,TH))</f>
        <v>1025975540</v>
      </c>
      <c r="H19" s="395">
        <f t="array" ref="H19">SUM(IF("331"&amp;C19=KHN&amp;KH,TH))</f>
        <v>1025975540</v>
      </c>
      <c r="I19" s="422">
        <f t="shared" si="2"/>
        <v>0</v>
      </c>
      <c r="J19" s="395">
        <f>G19</f>
        <v>1025975540</v>
      </c>
      <c r="K19" s="395">
        <f t="shared" si="4"/>
        <v>1025975540</v>
      </c>
      <c r="L19" s="422">
        <f t="shared" si="5"/>
        <v>0</v>
      </c>
      <c r="M19" s="395"/>
      <c r="N19" s="395">
        <f t="shared" si="6"/>
        <v>1092999800</v>
      </c>
      <c r="O19" s="396"/>
    </row>
    <row r="20" spans="1:15" ht="36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2">
        <f t="shared" si="2"/>
        <v>0</v>
      </c>
      <c r="J20" s="395">
        <f t="shared" si="3"/>
        <v>570000000</v>
      </c>
      <c r="K20" s="395">
        <f t="shared" si="4"/>
        <v>570000000</v>
      </c>
      <c r="L20" s="422">
        <f t="shared" si="5"/>
        <v>0</v>
      </c>
      <c r="M20" s="395"/>
      <c r="N20" s="395">
        <f t="shared" si="6"/>
        <v>570000000</v>
      </c>
      <c r="O20" s="396"/>
    </row>
    <row r="21" spans="1:15" ht="36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2">
        <f t="shared" si="2"/>
        <v>199632000</v>
      </c>
      <c r="J21" s="395">
        <f t="shared" si="3"/>
        <v>599632000</v>
      </c>
      <c r="K21" s="395">
        <f t="shared" si="4"/>
        <v>400000000</v>
      </c>
      <c r="L21" s="422">
        <f t="shared" si="5"/>
        <v>199632000</v>
      </c>
      <c r="M21" s="395"/>
      <c r="N21" s="395">
        <f t="shared" si="6"/>
        <v>599632000</v>
      </c>
      <c r="O21" s="396"/>
    </row>
    <row r="22" spans="1:15" ht="36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9550000000</v>
      </c>
      <c r="I22" s="422">
        <f t="shared" si="2"/>
        <v>-1050000000</v>
      </c>
      <c r="J22" s="395">
        <v>11322555140</v>
      </c>
      <c r="K22" s="395">
        <f>'TH - TT'!$I$138</f>
        <v>8615000000</v>
      </c>
      <c r="L22" s="422">
        <f t="shared" si="5"/>
        <v>2707555140</v>
      </c>
      <c r="M22" s="395"/>
      <c r="N22" s="395">
        <f t="shared" si="6"/>
        <v>11322555140</v>
      </c>
      <c r="O22" s="396"/>
    </row>
    <row r="23" spans="1:15" ht="36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>SUMIFS(TH,KHN,"2412",KHC,"331",KH,C23)</f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2">
        <f t="shared" si="2"/>
        <v>0</v>
      </c>
      <c r="J23" s="395">
        <f>2248700000+76140000</f>
        <v>2324840000</v>
      </c>
      <c r="K23" s="395">
        <f>'TH - TT'!$I$153</f>
        <v>2212405000</v>
      </c>
      <c r="L23" s="422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36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3515073526</v>
      </c>
      <c r="G24" s="395">
        <f t="array" ref="G24">SUM(IF("331"&amp;C24=KHC&amp;KH,TH))</f>
        <v>3866580879</v>
      </c>
      <c r="H24" s="395">
        <f t="array" ref="H24">SUM(IF("331"&amp;C24=KHN&amp;KH,TH))</f>
        <v>3200000000</v>
      </c>
      <c r="I24" s="422">
        <f t="shared" si="2"/>
        <v>666580879</v>
      </c>
      <c r="J24" s="395">
        <v>2910000000</v>
      </c>
      <c r="K24" s="395">
        <f>'TH - TT'!$I$164</f>
        <v>2500000000</v>
      </c>
      <c r="L24" s="422">
        <f t="shared" si="5"/>
        <v>410000000</v>
      </c>
      <c r="M24" s="395"/>
      <c r="N24" s="395">
        <f t="shared" si="6"/>
        <v>3515073526</v>
      </c>
      <c r="O24" s="396"/>
    </row>
    <row r="25" spans="1:15" ht="36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2">
        <f t="shared" si="2"/>
        <v>1033507770</v>
      </c>
      <c r="J25" s="395">
        <v>1300000000</v>
      </c>
      <c r="K25" s="395">
        <f>'TH - TT'!I171</f>
        <v>660000000</v>
      </c>
      <c r="L25" s="422">
        <f t="shared" si="5"/>
        <v>640000000</v>
      </c>
      <c r="M25" s="395"/>
      <c r="N25" s="395">
        <f t="shared" si="6"/>
        <v>1858997690</v>
      </c>
      <c r="O25" s="396"/>
    </row>
    <row r="26" spans="1:15" ht="36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2050000000</v>
      </c>
      <c r="G26" s="395">
        <f t="array" ref="G26">SUM(IF("331"&amp;C26=KHC&amp;KH,TH))</f>
        <v>2255000000</v>
      </c>
      <c r="H26" s="395">
        <f t="array" ref="H26">SUM(IF("331"&amp;C26=KHN&amp;KH,TH))</f>
        <v>2160000000</v>
      </c>
      <c r="I26" s="422">
        <f t="shared" si="2"/>
        <v>95000000</v>
      </c>
      <c r="J26" s="395">
        <v>2552000000</v>
      </c>
      <c r="K26" s="395">
        <f>'TH - TT'!I197</f>
        <v>1419481000</v>
      </c>
      <c r="L26" s="422">
        <f t="shared" si="5"/>
        <v>1132519000</v>
      </c>
      <c r="M26" s="395"/>
      <c r="N26" s="395">
        <f t="shared" si="6"/>
        <v>3652000000</v>
      </c>
      <c r="O26" s="396"/>
    </row>
    <row r="27" spans="1:15" ht="36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2">
        <f t="shared" si="2"/>
        <v>0</v>
      </c>
      <c r="J27" s="395">
        <f>485650000+49500000+15000000-5200000</f>
        <v>544950000</v>
      </c>
      <c r="K27" s="395">
        <f>'TH - TT'!$I$204</f>
        <v>544950000</v>
      </c>
      <c r="L27" s="422">
        <f>J27-K27</f>
        <v>0</v>
      </c>
      <c r="M27" s="395"/>
      <c r="N27" s="395">
        <f t="shared" si="6"/>
        <v>700150000</v>
      </c>
      <c r="O27" s="396"/>
    </row>
    <row r="28" spans="1:15" ht="36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2">
        <f t="shared" si="2"/>
        <v>94100000</v>
      </c>
      <c r="J28" s="395">
        <v>298500000</v>
      </c>
      <c r="K28" s="395">
        <f>'TH - TT'!I211</f>
        <v>294100000</v>
      </c>
      <c r="L28" s="422">
        <f t="shared" si="5"/>
        <v>4400000</v>
      </c>
      <c r="M28" s="395"/>
      <c r="N28" s="395">
        <f t="shared" si="6"/>
        <v>394100000</v>
      </c>
      <c r="O28" s="396"/>
    </row>
    <row r="29" spans="1:15" ht="36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2">
        <f t="shared" si="2"/>
        <v>-360000000</v>
      </c>
      <c r="J29" s="395">
        <v>1201326457</v>
      </c>
      <c r="K29" s="395">
        <f>'TH - TT'!I224</f>
        <v>950000000</v>
      </c>
      <c r="L29" s="422">
        <f t="shared" si="5"/>
        <v>251326457</v>
      </c>
      <c r="M29" s="395"/>
      <c r="N29" s="395">
        <f t="shared" si="6"/>
        <v>1526574728</v>
      </c>
      <c r="O29" s="396"/>
    </row>
    <row r="30" spans="1:15" ht="36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2">
        <f t="shared" si="2"/>
        <v>0</v>
      </c>
      <c r="J30" s="395">
        <f>'TH - TT'!H236</f>
        <v>1120135707</v>
      </c>
      <c r="K30" s="395">
        <f>'TH - TT'!I236</f>
        <v>1120135707</v>
      </c>
      <c r="L30" s="422">
        <f t="shared" si="5"/>
        <v>0</v>
      </c>
      <c r="M30" s="395"/>
      <c r="N30" s="395">
        <f t="shared" si="6"/>
        <v>1101009166</v>
      </c>
      <c r="O30" s="396"/>
    </row>
    <row r="31" spans="1:15" ht="36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f>G31</f>
        <v>2389362910</v>
      </c>
      <c r="F31" s="395">
        <f t="shared" si="0"/>
        <v>2172148100</v>
      </c>
      <c r="G31" s="395">
        <f t="array" ref="G31">SUM(IF("331"&amp;C31=KHC&amp;KH,TH))</f>
        <v>2389362910</v>
      </c>
      <c r="H31" s="395">
        <f t="array" ref="H31">SUM(IF("331"&amp;C31=KHN&amp;KH,TH))</f>
        <v>1600000000</v>
      </c>
      <c r="I31" s="422">
        <f t="shared" si="2"/>
        <v>789362910</v>
      </c>
      <c r="J31" s="395">
        <v>1626192957</v>
      </c>
      <c r="K31" s="395">
        <f>'TH - TT'!I246</f>
        <v>800000000</v>
      </c>
      <c r="L31" s="422">
        <f t="shared" si="5"/>
        <v>826192957</v>
      </c>
      <c r="M31" s="395"/>
      <c r="N31" s="395">
        <f t="shared" si="6"/>
        <v>2389362910</v>
      </c>
      <c r="O31" s="396"/>
    </row>
    <row r="32" spans="1:15" ht="36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395529091</v>
      </c>
      <c r="G32" s="395">
        <f t="array" ref="G32">SUM(IF("331"&amp;C32=KHC&amp;KH,TH))</f>
        <v>435082000</v>
      </c>
      <c r="H32" s="395">
        <f t="array" ref="H32">SUM(IF("331"&amp;C32=KHN&amp;KH,TH))</f>
        <v>360000000</v>
      </c>
      <c r="I32" s="422">
        <f t="shared" si="2"/>
        <v>75082000</v>
      </c>
      <c r="J32" s="395">
        <v>434232000</v>
      </c>
      <c r="K32" s="395">
        <f>'TH - TT'!I260</f>
        <v>385000000</v>
      </c>
      <c r="L32" s="422">
        <f t="shared" si="5"/>
        <v>49232000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2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2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2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2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2">
        <f t="shared" si="2"/>
        <v>0</v>
      </c>
      <c r="J35" s="395">
        <f t="shared" si="7"/>
        <v>16743100</v>
      </c>
      <c r="K35" s="395">
        <f t="shared" si="8"/>
        <v>16743100</v>
      </c>
      <c r="L35" s="422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1279231634</v>
      </c>
      <c r="G36" s="395">
        <f>SUMIFS(TH,KHN,"2412",KHC,"1111")</f>
        <v>1279231634</v>
      </c>
      <c r="H36" s="395">
        <f>$G$36</f>
        <v>1279231634</v>
      </c>
      <c r="I36" s="422"/>
      <c r="J36" s="395">
        <f t="shared" ref="J36:K36" si="9">$G$36</f>
        <v>1279231634</v>
      </c>
      <c r="K36" s="395">
        <f t="shared" si="9"/>
        <v>1279231634</v>
      </c>
      <c r="L36" s="422"/>
      <c r="M36" s="395"/>
      <c r="N36" s="395">
        <f t="shared" si="6"/>
        <v>1279231634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2696836981</v>
      </c>
      <c r="G37" s="395">
        <f t="array" ref="G37">SUM(IF(B37=KHN,TH))</f>
        <v>2696836981</v>
      </c>
      <c r="H37" s="395">
        <f>$G$37</f>
        <v>2696836981</v>
      </c>
      <c r="I37" s="422"/>
      <c r="J37" s="395">
        <f t="shared" ref="J37:K37" si="10">$G$37</f>
        <v>2696836981</v>
      </c>
      <c r="K37" s="395">
        <f t="shared" si="10"/>
        <v>2696836981</v>
      </c>
      <c r="L37" s="422"/>
      <c r="M37" s="395"/>
      <c r="N37" s="395">
        <f t="shared" si="6"/>
        <v>2696836981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2"/>
      <c r="J38" s="395"/>
      <c r="K38" s="395"/>
      <c r="L38" s="422"/>
      <c r="M38" s="395"/>
      <c r="N38" s="395"/>
    </row>
    <row r="39" spans="1:15" ht="30" customHeight="1">
      <c r="A39" s="481" t="s">
        <v>709</v>
      </c>
      <c r="B39" s="481"/>
      <c r="C39" s="481"/>
      <c r="D39" s="481"/>
      <c r="E39" s="403">
        <f t="shared" ref="E39:L39" si="11">SUM(E5:E38)</f>
        <v>34696795333</v>
      </c>
      <c r="F39" s="403">
        <f t="shared" si="11"/>
        <v>32038836665</v>
      </c>
      <c r="G39" s="403">
        <f t="shared" si="11"/>
        <v>35104527533</v>
      </c>
      <c r="H39" s="403">
        <f t="shared" si="11"/>
        <v>33421661974</v>
      </c>
      <c r="I39" s="423">
        <f t="shared" si="11"/>
        <v>1682865559</v>
      </c>
      <c r="J39" s="403">
        <f t="shared" si="11"/>
        <v>35194266156</v>
      </c>
      <c r="K39" s="403">
        <f t="shared" si="11"/>
        <v>28721373602</v>
      </c>
      <c r="L39" s="423">
        <f t="shared" si="11"/>
        <v>6472892554</v>
      </c>
      <c r="M39" s="403"/>
      <c r="N39" s="403">
        <f>SUM(N5:N38)</f>
        <v>39216194467</v>
      </c>
    </row>
    <row r="40" spans="1:15" ht="30" customHeight="1">
      <c r="F40" s="404">
        <f>CDPS!$E$22</f>
        <v>32067536665</v>
      </c>
      <c r="G40" s="404"/>
    </row>
    <row r="41" spans="1:15" ht="30" customHeight="1">
      <c r="F41" s="396">
        <f>F39-F40</f>
        <v>-28700000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52" right="0.13" top="0.16" bottom="0.16" header="0.16" footer="0.16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77"/>
  <sheetViews>
    <sheetView tabSelected="1" workbookViewId="0">
      <pane xSplit="8" ySplit="4" topLeftCell="I206" activePane="bottomRight" state="frozen"/>
      <selection pane="topRight" activeCell="G1" sqref="G1"/>
      <selection pane="bottomLeft" activeCell="A5" sqref="A5"/>
      <selection pane="bottomRight" activeCell="A213" sqref="A213:K225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29" t="str">
        <f ca="1">"CHI PHÍ XÂY DỰNG TRÀ VINH   " &amp; TEXT(NOW(),"dd/MM/yyyy")</f>
        <v>CHI PHÍ XÂY DỰNG TRÀ VINH   03/10/2017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303"/>
    </row>
    <row r="3" spans="1:12" s="145" customFormat="1" ht="19.5" customHeight="1">
      <c r="A3" s="530" t="s">
        <v>79</v>
      </c>
      <c r="B3" s="530" t="s">
        <v>359</v>
      </c>
      <c r="C3" s="530" t="s">
        <v>360</v>
      </c>
      <c r="D3" s="530" t="s">
        <v>361</v>
      </c>
      <c r="E3" s="531" t="s">
        <v>362</v>
      </c>
      <c r="F3" s="532"/>
      <c r="G3" s="533"/>
      <c r="H3" s="531" t="s">
        <v>363</v>
      </c>
      <c r="I3" s="533"/>
      <c r="J3" s="534" t="s">
        <v>364</v>
      </c>
      <c r="K3" s="530" t="s">
        <v>365</v>
      </c>
      <c r="L3" s="199"/>
    </row>
    <row r="4" spans="1:12" s="148" customFormat="1" ht="19.5" customHeight="1">
      <c r="A4" s="530"/>
      <c r="B4" s="530"/>
      <c r="C4" s="530"/>
      <c r="D4" s="530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35"/>
      <c r="K4" s="530"/>
      <c r="L4" s="304"/>
    </row>
    <row r="5" spans="1:12" s="148" customFormat="1" ht="19.5" customHeight="1">
      <c r="A5" s="528">
        <v>1</v>
      </c>
      <c r="B5" s="536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528"/>
      <c r="B6" s="537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528"/>
      <c r="B7" s="537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528"/>
      <c r="B8" s="537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528"/>
      <c r="B9" s="537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528"/>
      <c r="B10" s="537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528"/>
      <c r="B11" s="537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528"/>
      <c r="B12" s="537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528"/>
      <c r="B13" s="537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528"/>
      <c r="B14" s="537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528"/>
      <c r="B15" s="537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528"/>
      <c r="B16" s="537"/>
      <c r="C16" s="505" t="s">
        <v>94</v>
      </c>
      <c r="D16" s="506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528"/>
      <c r="B17" s="538"/>
      <c r="C17" s="505" t="s">
        <v>379</v>
      </c>
      <c r="D17" s="506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528">
        <v>2</v>
      </c>
      <c r="B18" s="528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528"/>
      <c r="B19" s="528"/>
      <c r="C19" s="505" t="s">
        <v>94</v>
      </c>
      <c r="D19" s="506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528"/>
      <c r="B20" s="528"/>
      <c r="C20" s="505" t="s">
        <v>379</v>
      </c>
      <c r="D20" s="506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528">
        <v>3</v>
      </c>
      <c r="B21" s="528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528"/>
      <c r="B22" s="528"/>
      <c r="C22" s="505" t="s">
        <v>94</v>
      </c>
      <c r="D22" s="506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528"/>
      <c r="B23" s="528"/>
      <c r="C23" s="505" t="s">
        <v>379</v>
      </c>
      <c r="D23" s="506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528">
        <v>4</v>
      </c>
      <c r="B24" s="528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528"/>
      <c r="B25" s="528"/>
      <c r="C25" s="505" t="s">
        <v>94</v>
      </c>
      <c r="D25" s="506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528"/>
      <c r="B26" s="528"/>
      <c r="C26" s="505" t="s">
        <v>379</v>
      </c>
      <c r="D26" s="506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528">
        <v>5</v>
      </c>
      <c r="B27" s="528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528"/>
      <c r="B28" s="528"/>
      <c r="C28" s="505" t="s">
        <v>94</v>
      </c>
      <c r="D28" s="506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528"/>
      <c r="B29" s="528"/>
      <c r="C29" s="505" t="s">
        <v>379</v>
      </c>
      <c r="D29" s="506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528">
        <v>6</v>
      </c>
      <c r="B30" s="528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528"/>
      <c r="B31" s="528"/>
      <c r="C31" s="505" t="s">
        <v>94</v>
      </c>
      <c r="D31" s="506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528"/>
      <c r="B32" s="528"/>
      <c r="C32" s="505" t="s">
        <v>379</v>
      </c>
      <c r="D32" s="506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528">
        <v>7</v>
      </c>
      <c r="B33" s="528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528"/>
      <c r="B34" s="528"/>
      <c r="C34" s="505" t="s">
        <v>94</v>
      </c>
      <c r="D34" s="506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528"/>
      <c r="B35" s="528"/>
      <c r="C35" s="505" t="s">
        <v>379</v>
      </c>
      <c r="D35" s="506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528">
        <v>8</v>
      </c>
      <c r="B36" s="528" t="s">
        <v>89</v>
      </c>
      <c r="C36" s="542" t="s">
        <v>385</v>
      </c>
      <c r="D36" s="551">
        <v>41697</v>
      </c>
      <c r="E36" s="550">
        <f>324737600+1262599800</f>
        <v>1587337400</v>
      </c>
      <c r="F36" s="550">
        <f>324737600+1262599800</f>
        <v>1587337400</v>
      </c>
      <c r="G36" s="164">
        <v>43824000</v>
      </c>
      <c r="H36" s="550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528"/>
      <c r="B37" s="528"/>
      <c r="C37" s="542"/>
      <c r="D37" s="542"/>
      <c r="E37" s="550"/>
      <c r="F37" s="550"/>
      <c r="G37" s="151">
        <v>76462320</v>
      </c>
      <c r="H37" s="550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528"/>
      <c r="B38" s="528"/>
      <c r="C38" s="542"/>
      <c r="D38" s="542"/>
      <c r="E38" s="550"/>
      <c r="F38" s="550"/>
      <c r="G38" s="151">
        <v>133147080</v>
      </c>
      <c r="H38" s="550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528"/>
      <c r="B39" s="528"/>
      <c r="C39" s="542"/>
      <c r="D39" s="542"/>
      <c r="E39" s="550"/>
      <c r="F39" s="550"/>
      <c r="G39" s="151">
        <v>378779940</v>
      </c>
      <c r="H39" s="550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528"/>
      <c r="B40" s="528"/>
      <c r="C40" s="542"/>
      <c r="D40" s="542"/>
      <c r="E40" s="550"/>
      <c r="F40" s="550"/>
      <c r="G40" s="156">
        <v>252519960</v>
      </c>
      <c r="H40" s="550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528"/>
      <c r="B41" s="528"/>
      <c r="C41" s="542"/>
      <c r="D41" s="542"/>
      <c r="E41" s="550"/>
      <c r="F41" s="550"/>
      <c r="G41" s="151">
        <v>378779940</v>
      </c>
      <c r="H41" s="550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528"/>
      <c r="B42" s="528"/>
      <c r="C42" s="542"/>
      <c r="D42" s="542"/>
      <c r="E42" s="550"/>
      <c r="F42" s="550"/>
      <c r="G42" s="170">
        <v>323824160</v>
      </c>
      <c r="H42" s="550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528"/>
      <c r="B43" s="528"/>
      <c r="C43" s="505" t="s">
        <v>94</v>
      </c>
      <c r="D43" s="506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528"/>
      <c r="B44" s="528"/>
      <c r="C44" s="505" t="s">
        <v>379</v>
      </c>
      <c r="D44" s="506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528">
        <v>9</v>
      </c>
      <c r="B45" s="528" t="s">
        <v>91</v>
      </c>
      <c r="C45" s="542" t="s">
        <v>387</v>
      </c>
      <c r="D45" s="551">
        <v>41627</v>
      </c>
      <c r="E45" s="550">
        <v>289000000</v>
      </c>
      <c r="F45" s="550">
        <v>289000000</v>
      </c>
      <c r="G45" s="151">
        <v>20000000</v>
      </c>
      <c r="H45" s="550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528"/>
      <c r="B46" s="528"/>
      <c r="C46" s="542"/>
      <c r="D46" s="542"/>
      <c r="E46" s="550"/>
      <c r="F46" s="550"/>
      <c r="G46" s="151">
        <v>20000000</v>
      </c>
      <c r="H46" s="550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528"/>
      <c r="B47" s="528"/>
      <c r="C47" s="542"/>
      <c r="D47" s="542"/>
      <c r="E47" s="550"/>
      <c r="F47" s="550"/>
      <c r="G47" s="151">
        <v>50000000</v>
      </c>
      <c r="H47" s="550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528"/>
      <c r="B48" s="528"/>
      <c r="C48" s="542"/>
      <c r="D48" s="542"/>
      <c r="E48" s="550"/>
      <c r="F48" s="550"/>
      <c r="G48" s="151">
        <v>50000000</v>
      </c>
      <c r="H48" s="550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528"/>
      <c r="B49" s="528"/>
      <c r="C49" s="542"/>
      <c r="D49" s="542"/>
      <c r="E49" s="550"/>
      <c r="F49" s="550"/>
      <c r="G49" s="151">
        <v>50000000</v>
      </c>
      <c r="H49" s="550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528"/>
      <c r="B50" s="528"/>
      <c r="C50" s="542"/>
      <c r="D50" s="542"/>
      <c r="E50" s="550"/>
      <c r="F50" s="550"/>
      <c r="G50" s="151">
        <v>50000000</v>
      </c>
      <c r="H50" s="550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528"/>
      <c r="B51" s="528"/>
      <c r="C51" s="542"/>
      <c r="D51" s="542"/>
      <c r="E51" s="550"/>
      <c r="F51" s="550"/>
      <c r="G51" s="170">
        <v>49000000</v>
      </c>
      <c r="H51" s="550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528"/>
      <c r="B52" s="528"/>
      <c r="C52" s="505" t="s">
        <v>94</v>
      </c>
      <c r="D52" s="506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528"/>
      <c r="B53" s="528"/>
      <c r="C53" s="505" t="s">
        <v>379</v>
      </c>
      <c r="D53" s="506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99">
        <v>10</v>
      </c>
      <c r="B54" s="500" t="s">
        <v>304</v>
      </c>
      <c r="C54" s="501" t="s">
        <v>404</v>
      </c>
      <c r="D54" s="503">
        <v>42182</v>
      </c>
      <c r="E54" s="494">
        <v>150126466</v>
      </c>
      <c r="F54" s="494">
        <v>150126466</v>
      </c>
      <c r="G54" s="172">
        <v>45000000</v>
      </c>
      <c r="H54" s="494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99"/>
      <c r="B55" s="500"/>
      <c r="C55" s="502"/>
      <c r="D55" s="502"/>
      <c r="E55" s="495"/>
      <c r="F55" s="495"/>
      <c r="G55" s="138">
        <v>105126466</v>
      </c>
      <c r="H55" s="495"/>
      <c r="I55" s="138">
        <v>105126466</v>
      </c>
      <c r="J55" s="176">
        <v>42195</v>
      </c>
      <c r="K55" s="174" t="s">
        <v>372</v>
      </c>
    </row>
    <row r="56" spans="1:12" ht="16.5" customHeight="1">
      <c r="A56" s="499"/>
      <c r="B56" s="500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99"/>
      <c r="B57" s="500"/>
      <c r="C57" s="505" t="s">
        <v>94</v>
      </c>
      <c r="D57" s="506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99"/>
      <c r="B58" s="500"/>
      <c r="C58" s="505" t="s">
        <v>379</v>
      </c>
      <c r="D58" s="506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99">
        <v>11</v>
      </c>
      <c r="B59" s="500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99"/>
      <c r="B60" s="500"/>
      <c r="C60" s="505" t="s">
        <v>94</v>
      </c>
      <c r="D60" s="506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99"/>
      <c r="B61" s="500"/>
      <c r="C61" s="505" t="s">
        <v>379</v>
      </c>
      <c r="D61" s="506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99">
        <v>12</v>
      </c>
      <c r="B62" s="499" t="s">
        <v>90</v>
      </c>
      <c r="C62" s="512" t="s">
        <v>388</v>
      </c>
      <c r="D62" s="514">
        <v>41353</v>
      </c>
      <c r="E62" s="508"/>
      <c r="F62" s="508">
        <v>100000000</v>
      </c>
      <c r="G62" s="177">
        <v>30000000</v>
      </c>
      <c r="H62" s="508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99"/>
      <c r="B63" s="499"/>
      <c r="C63" s="512"/>
      <c r="D63" s="514"/>
      <c r="E63" s="508"/>
      <c r="F63" s="508"/>
      <c r="G63" s="172">
        <v>30000000</v>
      </c>
      <c r="H63" s="508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99"/>
      <c r="B64" s="499"/>
      <c r="C64" s="505" t="s">
        <v>94</v>
      </c>
      <c r="D64" s="506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99"/>
      <c r="B65" s="499"/>
      <c r="C65" s="505" t="s">
        <v>379</v>
      </c>
      <c r="D65" s="506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36">
        <v>13</v>
      </c>
      <c r="B66" s="536" t="s">
        <v>86</v>
      </c>
      <c r="C66" s="541" t="s">
        <v>380</v>
      </c>
      <c r="D66" s="543">
        <v>41292</v>
      </c>
      <c r="E66" s="539">
        <v>60500000</v>
      </c>
      <c r="F66" s="539">
        <v>60500000</v>
      </c>
      <c r="G66" s="164">
        <v>27500000</v>
      </c>
      <c r="H66" s="553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537"/>
      <c r="B67" s="537"/>
      <c r="C67" s="542"/>
      <c r="D67" s="542"/>
      <c r="E67" s="540"/>
      <c r="F67" s="540"/>
      <c r="G67" s="151">
        <v>33000000</v>
      </c>
      <c r="H67" s="550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537"/>
      <c r="B68" s="537"/>
      <c r="C68" s="505" t="s">
        <v>94</v>
      </c>
      <c r="D68" s="506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37"/>
      <c r="B69" s="537"/>
      <c r="C69" s="505" t="s">
        <v>379</v>
      </c>
      <c r="D69" s="506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37"/>
      <c r="B70" s="537"/>
      <c r="C70" s="541" t="s">
        <v>452</v>
      </c>
      <c r="D70" s="543">
        <v>42217</v>
      </c>
      <c r="E70" s="539">
        <v>428000000</v>
      </c>
      <c r="F70" s="539">
        <v>428000000</v>
      </c>
      <c r="G70" s="164">
        <v>128400000</v>
      </c>
      <c r="H70" s="539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537"/>
      <c r="B71" s="537"/>
      <c r="C71" s="541"/>
      <c r="D71" s="543"/>
      <c r="E71" s="544"/>
      <c r="F71" s="544"/>
      <c r="G71" s="164"/>
      <c r="H71" s="544"/>
      <c r="I71" s="164">
        <v>100000000</v>
      </c>
      <c r="J71" s="165"/>
      <c r="K71" s="463" t="s">
        <v>372</v>
      </c>
      <c r="L71" s="305"/>
    </row>
    <row r="72" spans="1:13" s="153" customFormat="1" ht="17.25" customHeight="1">
      <c r="A72" s="537"/>
      <c r="B72" s="537"/>
      <c r="C72" s="542"/>
      <c r="D72" s="542"/>
      <c r="E72" s="540"/>
      <c r="F72" s="540"/>
      <c r="G72" s="151"/>
      <c r="H72" s="540"/>
      <c r="I72" s="151"/>
      <c r="J72" s="166"/>
      <c r="K72" s="227"/>
      <c r="L72" s="305"/>
    </row>
    <row r="73" spans="1:13" s="161" customFormat="1" ht="17.25" customHeight="1">
      <c r="A73" s="537"/>
      <c r="B73" s="537"/>
      <c r="C73" s="505" t="s">
        <v>94</v>
      </c>
      <c r="D73" s="506"/>
      <c r="E73" s="158">
        <f>SUM(E70:E72)</f>
        <v>428000000</v>
      </c>
      <c r="F73" s="158">
        <f>SUM(F70:F72)</f>
        <v>428000000</v>
      </c>
      <c r="G73" s="158">
        <f>SUM(G70:G72)</f>
        <v>128400000</v>
      </c>
      <c r="H73" s="158">
        <f>SUM(H70:H72)</f>
        <v>428000000</v>
      </c>
      <c r="I73" s="158">
        <f>SUM(I70:I72)</f>
        <v>228400000</v>
      </c>
      <c r="J73" s="159"/>
      <c r="K73" s="160" t="s">
        <v>42</v>
      </c>
      <c r="L73" s="302"/>
    </row>
    <row r="74" spans="1:13" s="161" customFormat="1" ht="17.25" customHeight="1">
      <c r="A74" s="538"/>
      <c r="B74" s="538"/>
      <c r="C74" s="505" t="s">
        <v>379</v>
      </c>
      <c r="D74" s="506"/>
      <c r="E74" s="162"/>
      <c r="F74" s="162"/>
      <c r="G74" s="163">
        <f>E73-G73</f>
        <v>299600000</v>
      </c>
      <c r="H74" s="162"/>
      <c r="I74" s="163">
        <f>H73-I73</f>
        <v>199600000</v>
      </c>
      <c r="J74" s="159"/>
      <c r="K74" s="160"/>
      <c r="L74" s="302"/>
      <c r="M74" s="301"/>
    </row>
    <row r="75" spans="1:13" ht="17.25" customHeight="1">
      <c r="A75" s="499">
        <v>14</v>
      </c>
      <c r="B75" s="499" t="s">
        <v>109</v>
      </c>
      <c r="C75" s="512" t="s">
        <v>388</v>
      </c>
      <c r="D75" s="514">
        <v>41353</v>
      </c>
      <c r="E75" s="508"/>
      <c r="F75" s="508">
        <v>200000000</v>
      </c>
      <c r="G75" s="172">
        <f>IF(I75&gt;0,I75,0)</f>
        <v>50000000</v>
      </c>
      <c r="H75" s="508">
        <v>200000000</v>
      </c>
      <c r="I75" s="177">
        <v>50000000</v>
      </c>
      <c r="J75" s="173">
        <v>41871</v>
      </c>
      <c r="K75" s="174" t="s">
        <v>372</v>
      </c>
    </row>
    <row r="76" spans="1:13" ht="17.25" customHeight="1">
      <c r="A76" s="499"/>
      <c r="B76" s="499"/>
      <c r="C76" s="512"/>
      <c r="D76" s="514"/>
      <c r="E76" s="508"/>
      <c r="F76" s="508"/>
      <c r="G76" s="172">
        <f t="shared" ref="G76:G78" si="1">IF(I76&gt;0,I76,0)</f>
        <v>50000000</v>
      </c>
      <c r="H76" s="508"/>
      <c r="I76" s="177">
        <v>50000000</v>
      </c>
      <c r="J76" s="176">
        <v>42034</v>
      </c>
      <c r="K76" s="174" t="s">
        <v>372</v>
      </c>
    </row>
    <row r="77" spans="1:13" ht="17.25" customHeight="1">
      <c r="A77" s="499"/>
      <c r="B77" s="499"/>
      <c r="C77" s="512"/>
      <c r="D77" s="514"/>
      <c r="E77" s="508"/>
      <c r="F77" s="508"/>
      <c r="G77" s="172">
        <f t="shared" si="1"/>
        <v>50000000</v>
      </c>
      <c r="H77" s="508"/>
      <c r="I77" s="177">
        <v>50000000</v>
      </c>
      <c r="J77" s="176">
        <v>42144</v>
      </c>
      <c r="K77" s="174" t="s">
        <v>372</v>
      </c>
    </row>
    <row r="78" spans="1:13" ht="17.25" customHeight="1">
      <c r="A78" s="499"/>
      <c r="B78" s="499"/>
      <c r="C78" s="512"/>
      <c r="D78" s="514"/>
      <c r="E78" s="508"/>
      <c r="F78" s="508"/>
      <c r="G78" s="172">
        <f t="shared" si="1"/>
        <v>0</v>
      </c>
      <c r="H78" s="508"/>
      <c r="I78" s="151"/>
      <c r="J78" s="183"/>
      <c r="K78" s="184"/>
    </row>
    <row r="79" spans="1:13" s="161" customFormat="1" ht="18" customHeight="1">
      <c r="A79" s="499"/>
      <c r="B79" s="499"/>
      <c r="C79" s="505" t="s">
        <v>94</v>
      </c>
      <c r="D79" s="506"/>
      <c r="E79" s="158">
        <f>SUM(E75:E78)</f>
        <v>0</v>
      </c>
      <c r="F79" s="158">
        <f>SUM(F75:F78)</f>
        <v>200000000</v>
      </c>
      <c r="G79" s="158">
        <f>SUM(G75:G78)</f>
        <v>150000000</v>
      </c>
      <c r="H79" s="158">
        <f>SUM(H75:H78)</f>
        <v>200000000</v>
      </c>
      <c r="I79" s="158">
        <f>SUM(I75:I78)</f>
        <v>150000000</v>
      </c>
      <c r="J79" s="159"/>
      <c r="K79" s="160" t="s">
        <v>42</v>
      </c>
      <c r="L79" s="302"/>
    </row>
    <row r="80" spans="1:13" s="161" customFormat="1" ht="18" customHeight="1">
      <c r="A80" s="499"/>
      <c r="B80" s="499"/>
      <c r="C80" s="505" t="s">
        <v>379</v>
      </c>
      <c r="D80" s="506"/>
      <c r="E80" s="162"/>
      <c r="F80" s="162"/>
      <c r="G80" s="163">
        <f>E79-G79</f>
        <v>-150000000</v>
      </c>
      <c r="H80" s="162"/>
      <c r="I80" s="163">
        <f>H79-I79</f>
        <v>50000000</v>
      </c>
      <c r="J80" s="159"/>
      <c r="K80" s="160"/>
      <c r="L80" s="302"/>
    </row>
    <row r="81" spans="1:12" ht="16.5" customHeight="1">
      <c r="A81" s="499">
        <v>15</v>
      </c>
      <c r="B81" s="499" t="s">
        <v>399</v>
      </c>
      <c r="C81" s="512" t="s">
        <v>400</v>
      </c>
      <c r="D81" s="514">
        <v>42118</v>
      </c>
      <c r="E81" s="508">
        <v>255297700</v>
      </c>
      <c r="F81" s="508">
        <v>255297700</v>
      </c>
      <c r="G81" s="172">
        <v>100000000</v>
      </c>
      <c r="H81" s="508">
        <v>255297700</v>
      </c>
      <c r="I81" s="172">
        <v>100000000</v>
      </c>
      <c r="J81" s="176">
        <v>42131</v>
      </c>
      <c r="K81" s="174" t="s">
        <v>372</v>
      </c>
    </row>
    <row r="82" spans="1:12" ht="16.5" customHeight="1">
      <c r="A82" s="499"/>
      <c r="B82" s="499"/>
      <c r="C82" s="512"/>
      <c r="D82" s="514"/>
      <c r="E82" s="508"/>
      <c r="F82" s="508"/>
      <c r="G82" s="172">
        <v>100000000</v>
      </c>
      <c r="H82" s="508"/>
      <c r="I82" s="172">
        <v>100000000</v>
      </c>
      <c r="J82" s="176">
        <v>42157</v>
      </c>
      <c r="K82" s="174" t="s">
        <v>372</v>
      </c>
    </row>
    <row r="83" spans="1:12" ht="16.5" customHeight="1">
      <c r="A83" s="499"/>
      <c r="B83" s="499"/>
      <c r="C83" s="512"/>
      <c r="D83" s="514"/>
      <c r="E83" s="508"/>
      <c r="F83" s="508"/>
      <c r="G83" s="172">
        <v>55297700</v>
      </c>
      <c r="H83" s="508"/>
      <c r="I83" s="172">
        <v>55297700</v>
      </c>
      <c r="J83" s="176">
        <v>42195</v>
      </c>
      <c r="K83" s="174" t="s">
        <v>372</v>
      </c>
    </row>
    <row r="84" spans="1:12" s="161" customFormat="1" ht="18" customHeight="1">
      <c r="A84" s="499"/>
      <c r="B84" s="499"/>
      <c r="C84" s="505" t="s">
        <v>94</v>
      </c>
      <c r="D84" s="506"/>
      <c r="E84" s="158">
        <f>SUM(E81:E83)</f>
        <v>255297700</v>
      </c>
      <c r="F84" s="158">
        <f>SUM(F81:F83)</f>
        <v>255297700</v>
      </c>
      <c r="G84" s="158">
        <f>SUM(G81:G83)</f>
        <v>255297700</v>
      </c>
      <c r="H84" s="158">
        <f>SUM(H81:H83)</f>
        <v>255297700</v>
      </c>
      <c r="I84" s="158">
        <f>SUM(I81:I83)</f>
        <v>255297700</v>
      </c>
      <c r="J84" s="159"/>
      <c r="K84" s="160" t="s">
        <v>42</v>
      </c>
      <c r="L84" s="302"/>
    </row>
    <row r="85" spans="1:12" s="161" customFormat="1" ht="18" customHeight="1">
      <c r="A85" s="499"/>
      <c r="B85" s="499"/>
      <c r="C85" s="505" t="s">
        <v>379</v>
      </c>
      <c r="D85" s="506"/>
      <c r="E85" s="162"/>
      <c r="F85" s="162"/>
      <c r="G85" s="163">
        <f>E84-G84</f>
        <v>0</v>
      </c>
      <c r="H85" s="162"/>
      <c r="I85" s="163">
        <f>H84-I84</f>
        <v>0</v>
      </c>
      <c r="J85" s="159"/>
      <c r="K85" s="160"/>
      <c r="L85" s="302"/>
    </row>
    <row r="86" spans="1:12" ht="16.5" customHeight="1">
      <c r="A86" s="499"/>
      <c r="B86" s="499"/>
      <c r="C86" s="522" t="s">
        <v>493</v>
      </c>
      <c r="D86" s="525">
        <v>42203</v>
      </c>
      <c r="E86" s="519">
        <f>H86</f>
        <v>708211020</v>
      </c>
      <c r="F86" s="519">
        <f>188280000+102950000+150022500</f>
        <v>441252500</v>
      </c>
      <c r="G86" s="179">
        <v>100000000</v>
      </c>
      <c r="H86" s="509">
        <f>188280000+102950000+150022500+59760000+114906620+92291900</f>
        <v>708211020</v>
      </c>
      <c r="I86" s="179">
        <v>100000000</v>
      </c>
      <c r="J86" s="189">
        <v>42174</v>
      </c>
      <c r="K86" s="431" t="s">
        <v>372</v>
      </c>
    </row>
    <row r="87" spans="1:12" ht="16.5" customHeight="1">
      <c r="A87" s="499"/>
      <c r="B87" s="499"/>
      <c r="C87" s="523"/>
      <c r="D87" s="526"/>
      <c r="E87" s="495"/>
      <c r="F87" s="495"/>
      <c r="G87" s="172">
        <v>200000000</v>
      </c>
      <c r="H87" s="508"/>
      <c r="I87" s="172">
        <v>200000000</v>
      </c>
      <c r="J87" s="428">
        <v>42212</v>
      </c>
      <c r="K87" s="427" t="s">
        <v>372</v>
      </c>
    </row>
    <row r="88" spans="1:12" ht="16.5" customHeight="1">
      <c r="A88" s="499"/>
      <c r="B88" s="499"/>
      <c r="C88" s="523"/>
      <c r="D88" s="526"/>
      <c r="E88" s="495"/>
      <c r="F88" s="495"/>
      <c r="G88" s="172">
        <f>I88</f>
        <v>201012500</v>
      </c>
      <c r="H88" s="508"/>
      <c r="I88" s="172">
        <v>201012500</v>
      </c>
      <c r="J88" s="428">
        <v>42266</v>
      </c>
      <c r="K88" s="427" t="s">
        <v>372</v>
      </c>
    </row>
    <row r="89" spans="1:12" ht="16.5" customHeight="1">
      <c r="A89" s="499"/>
      <c r="B89" s="499"/>
      <c r="C89" s="523"/>
      <c r="D89" s="526"/>
      <c r="E89" s="495"/>
      <c r="F89" s="495"/>
      <c r="G89" s="172">
        <f>I89</f>
        <v>114906620</v>
      </c>
      <c r="H89" s="508"/>
      <c r="I89" s="172">
        <v>114906620</v>
      </c>
      <c r="J89" s="428">
        <v>42349</v>
      </c>
      <c r="K89" s="427" t="s">
        <v>372</v>
      </c>
    </row>
    <row r="90" spans="1:12" ht="16.5" customHeight="1">
      <c r="A90" s="499"/>
      <c r="B90" s="499"/>
      <c r="C90" s="523"/>
      <c r="D90" s="526"/>
      <c r="E90" s="495"/>
      <c r="F90" s="495"/>
      <c r="G90" s="172"/>
      <c r="H90" s="508"/>
      <c r="I90" s="172"/>
      <c r="J90" s="428"/>
      <c r="K90" s="427"/>
    </row>
    <row r="91" spans="1:12" ht="16.5" customHeight="1">
      <c r="A91" s="499"/>
      <c r="B91" s="499"/>
      <c r="C91" s="524"/>
      <c r="D91" s="527"/>
      <c r="E91" s="520"/>
      <c r="F91" s="520"/>
      <c r="G91" s="385"/>
      <c r="H91" s="510"/>
      <c r="I91" s="385"/>
      <c r="J91" s="191"/>
      <c r="K91" s="429"/>
    </row>
    <row r="92" spans="1:12" s="161" customFormat="1" ht="18" customHeight="1">
      <c r="A92" s="499"/>
      <c r="B92" s="499"/>
      <c r="C92" s="505" t="s">
        <v>94</v>
      </c>
      <c r="D92" s="506"/>
      <c r="E92" s="158">
        <f>SUM(E86:E88)</f>
        <v>708211020</v>
      </c>
      <c r="F92" s="158">
        <f>SUM(F86:F88)</f>
        <v>441252500</v>
      </c>
      <c r="G92" s="158">
        <f>SUM(G86:G91)</f>
        <v>615919120</v>
      </c>
      <c r="H92" s="158">
        <f>SUM(H86:H88)</f>
        <v>708211020</v>
      </c>
      <c r="I92" s="158">
        <f>SUM(I86:I89)</f>
        <v>615919120</v>
      </c>
      <c r="J92" s="159"/>
      <c r="K92" s="160" t="s">
        <v>42</v>
      </c>
      <c r="L92" s="302"/>
    </row>
    <row r="93" spans="1:12" s="161" customFormat="1" ht="18" customHeight="1">
      <c r="A93" s="499"/>
      <c r="B93" s="499"/>
      <c r="C93" s="505" t="s">
        <v>379</v>
      </c>
      <c r="D93" s="506"/>
      <c r="E93" s="162"/>
      <c r="F93" s="162"/>
      <c r="G93" s="163">
        <f>E92-G92</f>
        <v>92291900</v>
      </c>
      <c r="H93" s="162"/>
      <c r="I93" s="163">
        <f>H92-I92</f>
        <v>92291900</v>
      </c>
      <c r="J93" s="159"/>
      <c r="K93" s="160"/>
      <c r="L93" s="302"/>
    </row>
    <row r="94" spans="1:12" ht="16.5" customHeight="1">
      <c r="A94" s="499">
        <v>16</v>
      </c>
      <c r="B94" s="500" t="s">
        <v>301</v>
      </c>
      <c r="C94" s="501" t="s">
        <v>403</v>
      </c>
      <c r="D94" s="503"/>
      <c r="E94" s="494">
        <f>F94</f>
        <v>570000000</v>
      </c>
      <c r="F94" s="494">
        <v>570000000</v>
      </c>
      <c r="G94" s="172">
        <v>171000000</v>
      </c>
      <c r="H94" s="494">
        <v>570000000</v>
      </c>
      <c r="I94" s="172">
        <v>171000000</v>
      </c>
      <c r="J94" s="176">
        <v>42174</v>
      </c>
      <c r="K94" s="174" t="s">
        <v>372</v>
      </c>
    </row>
    <row r="95" spans="1:12" ht="16.5" customHeight="1">
      <c r="A95" s="499"/>
      <c r="B95" s="500"/>
      <c r="C95" s="502"/>
      <c r="D95" s="504"/>
      <c r="E95" s="495"/>
      <c r="F95" s="495"/>
      <c r="G95" s="172">
        <v>228000000</v>
      </c>
      <c r="H95" s="495"/>
      <c r="I95" s="172">
        <v>228000000</v>
      </c>
      <c r="J95" s="176">
        <v>42251</v>
      </c>
      <c r="K95" s="243" t="s">
        <v>372</v>
      </c>
    </row>
    <row r="96" spans="1:12" ht="16.5" customHeight="1">
      <c r="A96" s="499"/>
      <c r="B96" s="500"/>
      <c r="C96" s="502"/>
      <c r="D96" s="504"/>
      <c r="E96" s="495"/>
      <c r="F96" s="495"/>
      <c r="G96" s="177">
        <f>I96</f>
        <v>171000000</v>
      </c>
      <c r="H96" s="495"/>
      <c r="I96" s="151">
        <v>171000000</v>
      </c>
      <c r="J96" s="428">
        <v>42399</v>
      </c>
      <c r="K96" s="430" t="s">
        <v>372</v>
      </c>
    </row>
    <row r="97" spans="1:12" ht="16.5" customHeight="1">
      <c r="A97" s="499"/>
      <c r="B97" s="500"/>
      <c r="C97" s="502"/>
      <c r="D97" s="504"/>
      <c r="E97" s="495"/>
      <c r="F97" s="495"/>
      <c r="G97" s="177"/>
      <c r="H97" s="495"/>
      <c r="I97" s="172"/>
      <c r="J97" s="428"/>
      <c r="K97" s="430"/>
    </row>
    <row r="98" spans="1:12" ht="16.5" customHeight="1">
      <c r="A98" s="499"/>
      <c r="B98" s="500"/>
      <c r="C98" s="502"/>
      <c r="D98" s="502"/>
      <c r="E98" s="495"/>
      <c r="F98" s="495"/>
      <c r="G98" s="138"/>
      <c r="H98" s="495"/>
      <c r="I98" s="151"/>
      <c r="J98" s="176"/>
      <c r="K98" s="430"/>
    </row>
    <row r="99" spans="1:12" s="161" customFormat="1" ht="18" customHeight="1">
      <c r="A99" s="499"/>
      <c r="B99" s="500"/>
      <c r="C99" s="505" t="s">
        <v>94</v>
      </c>
      <c r="D99" s="506"/>
      <c r="E99" s="158">
        <f>SUM(E94:E98)</f>
        <v>570000000</v>
      </c>
      <c r="F99" s="158">
        <f>SUM(F94:F98)</f>
        <v>570000000</v>
      </c>
      <c r="G99" s="158">
        <f>SUM(G94:G98)</f>
        <v>570000000</v>
      </c>
      <c r="H99" s="158">
        <f>SUM(H94:H98)</f>
        <v>570000000</v>
      </c>
      <c r="I99" s="158">
        <f>SUM(I94:I98)</f>
        <v>570000000</v>
      </c>
      <c r="J99" s="159"/>
      <c r="K99" s="160" t="s">
        <v>42</v>
      </c>
      <c r="L99" s="302"/>
    </row>
    <row r="100" spans="1:12" s="161" customFormat="1" ht="18" customHeight="1">
      <c r="A100" s="499"/>
      <c r="B100" s="500"/>
      <c r="C100" s="505" t="s">
        <v>379</v>
      </c>
      <c r="D100" s="506"/>
      <c r="E100" s="162"/>
      <c r="F100" s="162"/>
      <c r="G100" s="163">
        <f>E99-G99</f>
        <v>0</v>
      </c>
      <c r="H100" s="162"/>
      <c r="I100" s="163">
        <f>H99-I99</f>
        <v>0</v>
      </c>
      <c r="J100" s="159"/>
      <c r="K100" s="160"/>
      <c r="L100" s="302"/>
    </row>
    <row r="101" spans="1:12" ht="16.5" customHeight="1">
      <c r="A101" s="499">
        <v>17</v>
      </c>
      <c r="B101" s="500" t="s">
        <v>453</v>
      </c>
      <c r="C101" s="507" t="s">
        <v>441</v>
      </c>
      <c r="D101" s="503">
        <v>42230</v>
      </c>
      <c r="E101" s="494">
        <v>599632000</v>
      </c>
      <c r="F101" s="494">
        <f>E101</f>
        <v>599632000</v>
      </c>
      <c r="G101" s="151">
        <v>200000000</v>
      </c>
      <c r="H101" s="494">
        <v>599632000</v>
      </c>
      <c r="I101" s="151">
        <v>200000000</v>
      </c>
      <c r="J101" s="228">
        <v>42236</v>
      </c>
      <c r="K101" s="230" t="s">
        <v>372</v>
      </c>
    </row>
    <row r="102" spans="1:12" ht="16.5" customHeight="1">
      <c r="A102" s="499"/>
      <c r="B102" s="500"/>
      <c r="C102" s="502"/>
      <c r="D102" s="504"/>
      <c r="E102" s="495"/>
      <c r="F102" s="495"/>
      <c r="G102" s="164"/>
      <c r="H102" s="495"/>
      <c r="I102" s="151"/>
      <c r="J102" s="228"/>
      <c r="K102" s="230"/>
    </row>
    <row r="103" spans="1:12" s="161" customFormat="1" ht="18" customHeight="1">
      <c r="A103" s="499"/>
      <c r="B103" s="500"/>
      <c r="C103" s="505" t="s">
        <v>94</v>
      </c>
      <c r="D103" s="506"/>
      <c r="E103" s="158">
        <f>SUM(E101:E102)</f>
        <v>599632000</v>
      </c>
      <c r="F103" s="158">
        <f>SUM(F101:F102)</f>
        <v>599632000</v>
      </c>
      <c r="G103" s="158">
        <f>SUM(G101:G102)</f>
        <v>200000000</v>
      </c>
      <c r="H103" s="158">
        <f>SUM(H101:H102)</f>
        <v>599632000</v>
      </c>
      <c r="I103" s="158">
        <f>SUM(I101:I102)</f>
        <v>200000000</v>
      </c>
      <c r="J103" s="159"/>
      <c r="K103" s="160" t="s">
        <v>42</v>
      </c>
      <c r="L103" s="302"/>
    </row>
    <row r="104" spans="1:12" s="161" customFormat="1" ht="18" customHeight="1">
      <c r="A104" s="499"/>
      <c r="B104" s="500"/>
      <c r="C104" s="505" t="s">
        <v>379</v>
      </c>
      <c r="D104" s="506"/>
      <c r="E104" s="162"/>
      <c r="F104" s="162"/>
      <c r="G104" s="163">
        <f>E103-G103</f>
        <v>399632000</v>
      </c>
      <c r="H104" s="162"/>
      <c r="I104" s="163">
        <f>H103-I103</f>
        <v>399632000</v>
      </c>
      <c r="J104" s="159"/>
      <c r="K104" s="160"/>
      <c r="L104" s="302"/>
    </row>
    <row r="105" spans="1:12" ht="17.25" customHeight="1">
      <c r="A105" s="499">
        <v>18</v>
      </c>
      <c r="B105" s="499" t="s">
        <v>85</v>
      </c>
      <c r="C105" s="511" t="s">
        <v>389</v>
      </c>
      <c r="D105" s="545">
        <v>40549</v>
      </c>
      <c r="E105" s="509"/>
      <c r="F105" s="509">
        <v>1150000000</v>
      </c>
      <c r="G105" s="172">
        <f t="shared" ref="G105:G117" si="2">IF(I105&gt;0,I105,0)</f>
        <v>100000000</v>
      </c>
      <c r="H105" s="509">
        <v>1058500000</v>
      </c>
      <c r="I105" s="177">
        <v>100000000</v>
      </c>
      <c r="J105" s="173">
        <v>40570</v>
      </c>
      <c r="K105" s="174" t="s">
        <v>372</v>
      </c>
    </row>
    <row r="106" spans="1:12" ht="17.25" customHeight="1">
      <c r="A106" s="499"/>
      <c r="B106" s="499"/>
      <c r="C106" s="512"/>
      <c r="D106" s="546"/>
      <c r="E106" s="508"/>
      <c r="F106" s="508"/>
      <c r="G106" s="172">
        <f t="shared" si="2"/>
        <v>50000000</v>
      </c>
      <c r="H106" s="508"/>
      <c r="I106" s="172">
        <v>50000000</v>
      </c>
      <c r="J106" s="173">
        <v>40588</v>
      </c>
      <c r="K106" s="174" t="s">
        <v>372</v>
      </c>
    </row>
    <row r="107" spans="1:12" ht="17.25" customHeight="1">
      <c r="A107" s="499"/>
      <c r="B107" s="499"/>
      <c r="C107" s="512"/>
      <c r="D107" s="546"/>
      <c r="E107" s="508"/>
      <c r="F107" s="508"/>
      <c r="G107" s="172">
        <f t="shared" si="2"/>
        <v>100000000</v>
      </c>
      <c r="H107" s="508"/>
      <c r="I107" s="172">
        <v>100000000</v>
      </c>
      <c r="J107" s="173">
        <v>40605</v>
      </c>
      <c r="K107" s="174" t="s">
        <v>372</v>
      </c>
    </row>
    <row r="108" spans="1:12" ht="17.25" customHeight="1">
      <c r="A108" s="499"/>
      <c r="B108" s="499"/>
      <c r="C108" s="512"/>
      <c r="D108" s="546"/>
      <c r="E108" s="508"/>
      <c r="F108" s="508"/>
      <c r="G108" s="172"/>
      <c r="H108" s="508"/>
      <c r="I108" s="172">
        <v>100000000</v>
      </c>
      <c r="J108" s="173">
        <v>40612</v>
      </c>
      <c r="K108" s="174" t="s">
        <v>386</v>
      </c>
    </row>
    <row r="109" spans="1:12" ht="17.25" customHeight="1">
      <c r="A109" s="499"/>
      <c r="B109" s="499"/>
      <c r="C109" s="512"/>
      <c r="D109" s="546"/>
      <c r="E109" s="508"/>
      <c r="F109" s="508"/>
      <c r="G109" s="172">
        <f t="shared" si="2"/>
        <v>200000000</v>
      </c>
      <c r="H109" s="508"/>
      <c r="I109" s="172">
        <v>200000000</v>
      </c>
      <c r="J109" s="173">
        <v>40623</v>
      </c>
      <c r="K109" s="174" t="s">
        <v>372</v>
      </c>
    </row>
    <row r="110" spans="1:12" ht="17.25" customHeight="1">
      <c r="A110" s="499"/>
      <c r="B110" s="499"/>
      <c r="C110" s="512"/>
      <c r="D110" s="546"/>
      <c r="E110" s="508"/>
      <c r="F110" s="508"/>
      <c r="G110" s="172">
        <f t="shared" si="2"/>
        <v>0</v>
      </c>
      <c r="H110" s="508"/>
      <c r="I110" s="172">
        <v>-91500000</v>
      </c>
      <c r="J110" s="173">
        <v>40627</v>
      </c>
      <c r="K110" s="174" t="s">
        <v>390</v>
      </c>
    </row>
    <row r="111" spans="1:12" ht="17.25" customHeight="1">
      <c r="A111" s="499"/>
      <c r="B111" s="499"/>
      <c r="C111" s="512"/>
      <c r="D111" s="546"/>
      <c r="E111" s="508"/>
      <c r="F111" s="508"/>
      <c r="G111" s="172">
        <f t="shared" si="2"/>
        <v>100000000</v>
      </c>
      <c r="H111" s="508"/>
      <c r="I111" s="172">
        <v>100000000</v>
      </c>
      <c r="J111" s="173">
        <v>40630</v>
      </c>
      <c r="K111" s="174" t="s">
        <v>372</v>
      </c>
    </row>
    <row r="112" spans="1:12" ht="17.25" customHeight="1">
      <c r="A112" s="499"/>
      <c r="B112" s="499"/>
      <c r="C112" s="512"/>
      <c r="D112" s="546"/>
      <c r="E112" s="508"/>
      <c r="F112" s="508"/>
      <c r="G112" s="172"/>
      <c r="H112" s="508"/>
      <c r="I112" s="172">
        <v>100000000</v>
      </c>
      <c r="J112" s="173">
        <v>40676</v>
      </c>
      <c r="K112" s="174" t="s">
        <v>386</v>
      </c>
    </row>
    <row r="113" spans="1:12" ht="17.25" customHeight="1">
      <c r="A113" s="499"/>
      <c r="B113" s="499"/>
      <c r="C113" s="512"/>
      <c r="D113" s="546"/>
      <c r="E113" s="508"/>
      <c r="F113" s="508"/>
      <c r="G113" s="172">
        <f t="shared" si="2"/>
        <v>100000000</v>
      </c>
      <c r="H113" s="508"/>
      <c r="I113" s="172">
        <v>100000000</v>
      </c>
      <c r="J113" s="173">
        <v>40686</v>
      </c>
      <c r="K113" s="174" t="s">
        <v>372</v>
      </c>
    </row>
    <row r="114" spans="1:12" s="180" customFormat="1" ht="17.25" customHeight="1">
      <c r="A114" s="499"/>
      <c r="B114" s="499"/>
      <c r="C114" s="512"/>
      <c r="D114" s="546"/>
      <c r="E114" s="508"/>
      <c r="F114" s="508"/>
      <c r="G114" s="172">
        <f t="shared" si="2"/>
        <v>50000000</v>
      </c>
      <c r="H114" s="508"/>
      <c r="I114" s="172">
        <v>50000000</v>
      </c>
      <c r="J114" s="173">
        <v>40690</v>
      </c>
      <c r="K114" s="174" t="s">
        <v>372</v>
      </c>
      <c r="L114" s="306"/>
    </row>
    <row r="115" spans="1:12" s="180" customFormat="1" ht="17.25" customHeight="1">
      <c r="A115" s="499"/>
      <c r="B115" s="499"/>
      <c r="C115" s="512"/>
      <c r="D115" s="546"/>
      <c r="E115" s="508"/>
      <c r="F115" s="508"/>
      <c r="G115" s="172">
        <f t="shared" si="2"/>
        <v>100000000</v>
      </c>
      <c r="H115" s="508"/>
      <c r="I115" s="172">
        <v>100000000</v>
      </c>
      <c r="J115" s="173">
        <v>40724</v>
      </c>
      <c r="K115" s="174" t="s">
        <v>372</v>
      </c>
      <c r="L115" s="306"/>
    </row>
    <row r="116" spans="1:12" s="180" customFormat="1" ht="17.25" customHeight="1">
      <c r="A116" s="499"/>
      <c r="B116" s="499"/>
      <c r="C116" s="512"/>
      <c r="D116" s="546"/>
      <c r="E116" s="508"/>
      <c r="F116" s="508"/>
      <c r="G116" s="172"/>
      <c r="H116" s="508"/>
      <c r="I116" s="172">
        <v>100000000</v>
      </c>
      <c r="J116" s="176">
        <v>40747</v>
      </c>
      <c r="K116" s="178" t="s">
        <v>386</v>
      </c>
      <c r="L116" s="306"/>
    </row>
    <row r="117" spans="1:12" ht="17.25" customHeight="1">
      <c r="A117" s="499"/>
      <c r="B117" s="499"/>
      <c r="C117" s="512"/>
      <c r="D117" s="546"/>
      <c r="E117" s="508"/>
      <c r="F117" s="508"/>
      <c r="G117" s="172">
        <f t="shared" si="2"/>
        <v>50000000</v>
      </c>
      <c r="H117" s="508"/>
      <c r="I117" s="172">
        <v>50000000</v>
      </c>
      <c r="J117" s="176">
        <v>41115</v>
      </c>
      <c r="K117" s="174" t="s">
        <v>372</v>
      </c>
    </row>
    <row r="118" spans="1:12" ht="17.25" customHeight="1">
      <c r="A118" s="499"/>
      <c r="B118" s="499"/>
      <c r="C118" s="512" t="s">
        <v>391</v>
      </c>
      <c r="D118" s="546">
        <v>41860</v>
      </c>
      <c r="E118" s="508">
        <f>7500000000+1250000000+1000000000</f>
        <v>9750000000</v>
      </c>
      <c r="F118" s="508">
        <v>9000000000</v>
      </c>
      <c r="G118" s="172">
        <f>IF(I118&gt;0,I118,0)</f>
        <v>800000000</v>
      </c>
      <c r="H118" s="508">
        <v>9000000000</v>
      </c>
      <c r="I118" s="172">
        <v>800000000</v>
      </c>
      <c r="J118" s="176">
        <v>41905</v>
      </c>
      <c r="K118" s="174" t="s">
        <v>372</v>
      </c>
    </row>
    <row r="119" spans="1:12" ht="17.25" customHeight="1">
      <c r="A119" s="499"/>
      <c r="B119" s="499"/>
      <c r="C119" s="512"/>
      <c r="D119" s="546"/>
      <c r="E119" s="508"/>
      <c r="F119" s="508"/>
      <c r="G119" s="172">
        <f t="shared" ref="G119:G137" si="3">IF(I119&gt;0,I119,0)</f>
        <v>1500000000</v>
      </c>
      <c r="H119" s="508"/>
      <c r="I119" s="172">
        <v>1500000000</v>
      </c>
      <c r="J119" s="176">
        <v>41935</v>
      </c>
      <c r="K119" s="174" t="s">
        <v>372</v>
      </c>
    </row>
    <row r="120" spans="1:12" ht="17.25" customHeight="1">
      <c r="A120" s="499"/>
      <c r="B120" s="499"/>
      <c r="C120" s="512"/>
      <c r="D120" s="546"/>
      <c r="E120" s="508"/>
      <c r="F120" s="508"/>
      <c r="G120" s="172">
        <f t="shared" si="3"/>
        <v>1000000000</v>
      </c>
      <c r="H120" s="508"/>
      <c r="I120" s="172">
        <v>1000000000</v>
      </c>
      <c r="J120" s="176">
        <v>41963</v>
      </c>
      <c r="K120" s="174" t="s">
        <v>372</v>
      </c>
    </row>
    <row r="121" spans="1:12" ht="17.25" customHeight="1">
      <c r="A121" s="499"/>
      <c r="B121" s="499"/>
      <c r="C121" s="512"/>
      <c r="D121" s="546"/>
      <c r="E121" s="508"/>
      <c r="F121" s="508"/>
      <c r="G121" s="172">
        <f t="shared" si="3"/>
        <v>1000000000</v>
      </c>
      <c r="H121" s="508"/>
      <c r="I121" s="172">
        <v>1000000000</v>
      </c>
      <c r="J121" s="176">
        <v>41984</v>
      </c>
      <c r="K121" s="174" t="s">
        <v>372</v>
      </c>
    </row>
    <row r="122" spans="1:12" ht="17.25" customHeight="1">
      <c r="A122" s="499"/>
      <c r="B122" s="499"/>
      <c r="C122" s="512"/>
      <c r="D122" s="546"/>
      <c r="E122" s="508"/>
      <c r="F122" s="508"/>
      <c r="G122" s="172">
        <f t="shared" si="3"/>
        <v>700000000</v>
      </c>
      <c r="H122" s="508"/>
      <c r="I122" s="172">
        <v>700000000</v>
      </c>
      <c r="J122" s="176">
        <v>42034</v>
      </c>
      <c r="K122" s="174" t="s">
        <v>372</v>
      </c>
      <c r="L122" s="197" t="s">
        <v>392</v>
      </c>
    </row>
    <row r="123" spans="1:12" ht="17.25" customHeight="1">
      <c r="A123" s="499"/>
      <c r="B123" s="499"/>
      <c r="C123" s="512"/>
      <c r="D123" s="546"/>
      <c r="E123" s="508"/>
      <c r="F123" s="508"/>
      <c r="G123" s="172">
        <f t="shared" si="3"/>
        <v>500000000</v>
      </c>
      <c r="H123" s="508"/>
      <c r="I123" s="172">
        <v>500000000</v>
      </c>
      <c r="J123" s="176">
        <v>42096</v>
      </c>
      <c r="K123" s="174" t="s">
        <v>372</v>
      </c>
    </row>
    <row r="124" spans="1:12" ht="17.25" customHeight="1">
      <c r="A124" s="499"/>
      <c r="B124" s="499"/>
      <c r="C124" s="512"/>
      <c r="D124" s="546"/>
      <c r="E124" s="508"/>
      <c r="F124" s="508"/>
      <c r="G124" s="172">
        <f t="shared" si="3"/>
        <v>500000000</v>
      </c>
      <c r="H124" s="508"/>
      <c r="I124" s="172">
        <v>500000000</v>
      </c>
      <c r="J124" s="176">
        <v>42116</v>
      </c>
      <c r="K124" s="174" t="s">
        <v>372</v>
      </c>
    </row>
    <row r="125" spans="1:12" ht="17.25" customHeight="1">
      <c r="A125" s="499"/>
      <c r="B125" s="499"/>
      <c r="C125" s="512"/>
      <c r="D125" s="546"/>
      <c r="E125" s="508"/>
      <c r="F125" s="508"/>
      <c r="G125" s="172">
        <f t="shared" si="3"/>
        <v>500000000</v>
      </c>
      <c r="H125" s="508"/>
      <c r="I125" s="172">
        <v>500000000</v>
      </c>
      <c r="J125" s="176">
        <v>42138</v>
      </c>
      <c r="K125" s="174" t="s">
        <v>372</v>
      </c>
    </row>
    <row r="126" spans="1:12" ht="17.25" customHeight="1">
      <c r="A126" s="499"/>
      <c r="B126" s="499"/>
      <c r="C126" s="512"/>
      <c r="D126" s="546"/>
      <c r="E126" s="508"/>
      <c r="F126" s="508"/>
      <c r="G126" s="172">
        <f t="shared" si="3"/>
        <v>1000000000</v>
      </c>
      <c r="H126" s="508"/>
      <c r="I126" s="138">
        <v>1000000000</v>
      </c>
      <c r="J126" s="176">
        <v>42187</v>
      </c>
      <c r="K126" s="174" t="s">
        <v>372</v>
      </c>
    </row>
    <row r="127" spans="1:12" ht="17.25" customHeight="1">
      <c r="A127" s="499"/>
      <c r="B127" s="499"/>
      <c r="C127" s="501"/>
      <c r="D127" s="548"/>
      <c r="E127" s="494"/>
      <c r="F127" s="494"/>
      <c r="G127" s="172">
        <f t="shared" si="3"/>
        <v>300000000</v>
      </c>
      <c r="H127" s="494"/>
      <c r="I127" s="223">
        <v>300000000</v>
      </c>
      <c r="J127" s="219">
        <v>42209</v>
      </c>
      <c r="K127" s="222" t="s">
        <v>372</v>
      </c>
    </row>
    <row r="128" spans="1:12" ht="17.25" customHeight="1">
      <c r="A128" s="499"/>
      <c r="B128" s="499"/>
      <c r="C128" s="501"/>
      <c r="D128" s="548"/>
      <c r="E128" s="494"/>
      <c r="F128" s="494"/>
      <c r="G128" s="172">
        <f t="shared" si="3"/>
        <v>200000000</v>
      </c>
      <c r="H128" s="494"/>
      <c r="I128" s="226">
        <v>200000000</v>
      </c>
      <c r="J128" s="228">
        <v>42342</v>
      </c>
      <c r="K128" s="378" t="s">
        <v>372</v>
      </c>
    </row>
    <row r="129" spans="1:12" ht="17.25" customHeight="1">
      <c r="A129" s="499"/>
      <c r="B129" s="499"/>
      <c r="C129" s="501"/>
      <c r="D129" s="548"/>
      <c r="E129" s="494"/>
      <c r="F129" s="494"/>
      <c r="G129" s="172">
        <f t="shared" si="3"/>
        <v>200000000</v>
      </c>
      <c r="H129" s="494"/>
      <c r="I129" s="425">
        <v>200000000</v>
      </c>
      <c r="J129" s="428">
        <v>42399</v>
      </c>
      <c r="K129" s="430" t="s">
        <v>372</v>
      </c>
    </row>
    <row r="130" spans="1:12" ht="17.25" customHeight="1">
      <c r="A130" s="499"/>
      <c r="B130" s="499"/>
      <c r="C130" s="501"/>
      <c r="D130" s="548"/>
      <c r="E130" s="494"/>
      <c r="F130" s="494"/>
      <c r="G130" s="172">
        <f t="shared" si="3"/>
        <v>300000000</v>
      </c>
      <c r="H130" s="494"/>
      <c r="I130" s="425">
        <v>300000000</v>
      </c>
      <c r="J130" s="428">
        <v>42403</v>
      </c>
      <c r="K130" s="430" t="s">
        <v>372</v>
      </c>
    </row>
    <row r="131" spans="1:12" ht="17.25" customHeight="1">
      <c r="A131" s="499"/>
      <c r="B131" s="499"/>
      <c r="C131" s="501"/>
      <c r="D131" s="548"/>
      <c r="E131" s="494"/>
      <c r="F131" s="494"/>
      <c r="G131" s="172">
        <f t="shared" si="3"/>
        <v>0</v>
      </c>
      <c r="H131" s="494"/>
      <c r="I131" s="425">
        <v>-500000000</v>
      </c>
      <c r="J131" s="428">
        <v>42191</v>
      </c>
      <c r="K131" s="432" t="s">
        <v>390</v>
      </c>
    </row>
    <row r="132" spans="1:12" ht="17.25" customHeight="1">
      <c r="A132" s="499"/>
      <c r="B132" s="499"/>
      <c r="C132" s="501"/>
      <c r="D132" s="548"/>
      <c r="E132" s="494"/>
      <c r="F132" s="494"/>
      <c r="G132" s="172">
        <f t="shared" ref="G132" si="4">IF(I132&gt;0,I132,0)</f>
        <v>200000000</v>
      </c>
      <c r="H132" s="494"/>
      <c r="I132" s="461">
        <v>200000000</v>
      </c>
      <c r="J132" s="459">
        <v>42594</v>
      </c>
      <c r="K132" s="460" t="s">
        <v>372</v>
      </c>
    </row>
    <row r="133" spans="1:12" ht="17.25" customHeight="1">
      <c r="A133" s="499"/>
      <c r="B133" s="499"/>
      <c r="C133" s="501"/>
      <c r="D133" s="548"/>
      <c r="E133" s="494"/>
      <c r="F133" s="494"/>
      <c r="G133" s="172">
        <f t="shared" si="3"/>
        <v>200000000</v>
      </c>
      <c r="H133" s="494"/>
      <c r="I133" s="456">
        <v>200000000</v>
      </c>
      <c r="J133" s="457">
        <v>42653</v>
      </c>
      <c r="K133" s="458" t="s">
        <v>372</v>
      </c>
    </row>
    <row r="134" spans="1:12" ht="17.25" customHeight="1">
      <c r="A134" s="499"/>
      <c r="B134" s="499"/>
      <c r="C134" s="501"/>
      <c r="D134" s="548"/>
      <c r="E134" s="494"/>
      <c r="F134" s="494"/>
      <c r="G134" s="172"/>
      <c r="H134" s="494"/>
      <c r="I134" s="461">
        <v>125000000</v>
      </c>
      <c r="J134" s="459">
        <v>42685</v>
      </c>
      <c r="K134" s="460" t="s">
        <v>386</v>
      </c>
    </row>
    <row r="135" spans="1:12" ht="17.25" customHeight="1">
      <c r="A135" s="499"/>
      <c r="B135" s="499"/>
      <c r="C135" s="501"/>
      <c r="D135" s="548"/>
      <c r="E135" s="494"/>
      <c r="F135" s="494"/>
      <c r="G135" s="172"/>
      <c r="H135" s="494"/>
      <c r="I135" s="461">
        <v>50000000</v>
      </c>
      <c r="J135" s="459"/>
      <c r="K135" s="462" t="s">
        <v>386</v>
      </c>
    </row>
    <row r="136" spans="1:12" ht="17.25" customHeight="1">
      <c r="A136" s="499"/>
      <c r="B136" s="499"/>
      <c r="C136" s="501"/>
      <c r="D136" s="548"/>
      <c r="E136" s="494"/>
      <c r="F136" s="494"/>
      <c r="G136" s="172"/>
      <c r="H136" s="494"/>
      <c r="I136" s="464">
        <v>40000000</v>
      </c>
      <c r="J136" s="465">
        <v>42758</v>
      </c>
      <c r="K136" s="466" t="s">
        <v>386</v>
      </c>
    </row>
    <row r="137" spans="1:12" ht="17.25" customHeight="1">
      <c r="A137" s="499"/>
      <c r="B137" s="499"/>
      <c r="C137" s="547"/>
      <c r="D137" s="549"/>
      <c r="E137" s="510"/>
      <c r="F137" s="510"/>
      <c r="G137" s="172">
        <f t="shared" si="3"/>
        <v>0</v>
      </c>
      <c r="H137" s="510"/>
      <c r="I137" s="138"/>
      <c r="J137" s="176"/>
      <c r="K137" s="174"/>
    </row>
    <row r="138" spans="1:12" s="161" customFormat="1" ht="18" customHeight="1">
      <c r="A138" s="499"/>
      <c r="B138" s="499"/>
      <c r="C138" s="505" t="s">
        <v>94</v>
      </c>
      <c r="D138" s="506"/>
      <c r="E138" s="158">
        <f>SUM(E105:E137)</f>
        <v>9750000000</v>
      </c>
      <c r="F138" s="158">
        <f>SUM(F105:F137)</f>
        <v>10150000000</v>
      </c>
      <c r="G138" s="158">
        <f>SUM(G105:G137)</f>
        <v>9750000000</v>
      </c>
      <c r="H138" s="158">
        <f>SUM(H118)</f>
        <v>9000000000</v>
      </c>
      <c r="I138" s="158">
        <f>SUM(I118:I137)</f>
        <v>8615000000</v>
      </c>
      <c r="J138" s="159"/>
      <c r="K138" s="160" t="s">
        <v>42</v>
      </c>
      <c r="L138" s="302"/>
    </row>
    <row r="139" spans="1:12" s="161" customFormat="1" ht="18" customHeight="1">
      <c r="A139" s="499"/>
      <c r="B139" s="499"/>
      <c r="C139" s="505" t="s">
        <v>379</v>
      </c>
      <c r="D139" s="506"/>
      <c r="E139" s="162"/>
      <c r="F139" s="162"/>
      <c r="G139" s="163">
        <f>E138-G138</f>
        <v>0</v>
      </c>
      <c r="H139" s="162"/>
      <c r="I139" s="163">
        <f>H138-I138</f>
        <v>385000000</v>
      </c>
      <c r="J139" s="159"/>
      <c r="K139" s="160"/>
      <c r="L139" s="302"/>
    </row>
    <row r="140" spans="1:12" ht="17.25" customHeight="1">
      <c r="A140" s="499">
        <v>19</v>
      </c>
      <c r="B140" s="499" t="s">
        <v>111</v>
      </c>
      <c r="C140" s="501" t="s">
        <v>393</v>
      </c>
      <c r="D140" s="503">
        <v>41871</v>
      </c>
      <c r="E140" s="494">
        <v>2200000000</v>
      </c>
      <c r="F140" s="494">
        <f>2508700000</f>
        <v>2508700000</v>
      </c>
      <c r="G140" s="172">
        <f>IF(I140&gt;0,I140,0)</f>
        <v>752610000</v>
      </c>
      <c r="H140" s="494">
        <v>1858000000</v>
      </c>
      <c r="I140" s="172">
        <v>752610000</v>
      </c>
      <c r="J140" s="173">
        <v>41905</v>
      </c>
      <c r="K140" s="174" t="s">
        <v>372</v>
      </c>
    </row>
    <row r="141" spans="1:12" s="180" customFormat="1" ht="17.25" customHeight="1">
      <c r="A141" s="499"/>
      <c r="B141" s="499"/>
      <c r="C141" s="502"/>
      <c r="D141" s="502"/>
      <c r="E141" s="495"/>
      <c r="F141" s="495"/>
      <c r="G141" s="172">
        <f t="shared" ref="G141:G152" si="5">IF(I141&gt;0,I141,0)</f>
        <v>0</v>
      </c>
      <c r="H141" s="495"/>
      <c r="I141" s="185">
        <v>-200000000</v>
      </c>
      <c r="J141" s="186">
        <v>41907</v>
      </c>
      <c r="K141" s="187" t="s">
        <v>390</v>
      </c>
      <c r="L141" s="306"/>
    </row>
    <row r="142" spans="1:12" ht="17.25" customHeight="1">
      <c r="A142" s="499"/>
      <c r="B142" s="499"/>
      <c r="C142" s="502"/>
      <c r="D142" s="502"/>
      <c r="E142" s="495"/>
      <c r="F142" s="495"/>
      <c r="G142" s="172">
        <f t="shared" si="5"/>
        <v>500000000</v>
      </c>
      <c r="H142" s="495"/>
      <c r="I142" s="172">
        <v>500000000</v>
      </c>
      <c r="J142" s="173">
        <v>41942</v>
      </c>
      <c r="K142" s="174" t="s">
        <v>372</v>
      </c>
    </row>
    <row r="143" spans="1:12" ht="17.25" customHeight="1">
      <c r="A143" s="499"/>
      <c r="B143" s="499"/>
      <c r="C143" s="502"/>
      <c r="D143" s="502"/>
      <c r="E143" s="495"/>
      <c r="F143" s="495"/>
      <c r="G143" s="172">
        <f t="shared" si="5"/>
        <v>0</v>
      </c>
      <c r="H143" s="495"/>
      <c r="I143" s="185">
        <v>-100000000</v>
      </c>
      <c r="J143" s="186">
        <v>41951</v>
      </c>
      <c r="K143" s="187" t="s">
        <v>390</v>
      </c>
    </row>
    <row r="144" spans="1:12" ht="17.25" customHeight="1">
      <c r="A144" s="499"/>
      <c r="B144" s="499"/>
      <c r="C144" s="502"/>
      <c r="D144" s="502"/>
      <c r="E144" s="495"/>
      <c r="F144" s="495"/>
      <c r="G144" s="172">
        <f t="shared" si="5"/>
        <v>500000000</v>
      </c>
      <c r="H144" s="495"/>
      <c r="I144" s="172">
        <v>500000000</v>
      </c>
      <c r="J144" s="173">
        <v>42010</v>
      </c>
      <c r="K144" s="174" t="s">
        <v>372</v>
      </c>
    </row>
    <row r="145" spans="1:12" ht="17.25" customHeight="1">
      <c r="A145" s="499"/>
      <c r="B145" s="499"/>
      <c r="C145" s="502" t="s">
        <v>394</v>
      </c>
      <c r="D145" s="504">
        <v>42139</v>
      </c>
      <c r="E145" s="513">
        <f>308700000+501400000</f>
        <v>810100000</v>
      </c>
      <c r="F145" s="513">
        <f>184000000+317400000</f>
        <v>501400000</v>
      </c>
      <c r="G145" s="172">
        <f t="shared" si="5"/>
        <v>0</v>
      </c>
      <c r="H145" s="495">
        <f>139900000+250800000</f>
        <v>390700000</v>
      </c>
      <c r="I145" s="185">
        <v>-100000000</v>
      </c>
      <c r="J145" s="186">
        <v>42017</v>
      </c>
      <c r="K145" s="187" t="s">
        <v>390</v>
      </c>
    </row>
    <row r="146" spans="1:12" ht="17.25" customHeight="1">
      <c r="A146" s="499"/>
      <c r="B146" s="499"/>
      <c r="C146" s="502"/>
      <c r="D146" s="504"/>
      <c r="E146" s="513"/>
      <c r="F146" s="513"/>
      <c r="G146" s="172">
        <f t="shared" si="5"/>
        <v>251000000</v>
      </c>
      <c r="H146" s="495"/>
      <c r="I146" s="172">
        <v>251000000</v>
      </c>
      <c r="J146" s="173">
        <v>42094</v>
      </c>
      <c r="K146" s="174" t="s">
        <v>372</v>
      </c>
    </row>
    <row r="147" spans="1:12" ht="17.25" customHeight="1">
      <c r="A147" s="499"/>
      <c r="B147" s="499"/>
      <c r="C147" s="502"/>
      <c r="D147" s="504"/>
      <c r="E147" s="513"/>
      <c r="F147" s="513"/>
      <c r="G147" s="172">
        <f t="shared" si="5"/>
        <v>200000000</v>
      </c>
      <c r="H147" s="495"/>
      <c r="I147" s="172">
        <v>200000000</v>
      </c>
      <c r="J147" s="173">
        <v>42170</v>
      </c>
      <c r="K147" s="174" t="s">
        <v>372</v>
      </c>
    </row>
    <row r="148" spans="1:12" ht="17.25" customHeight="1">
      <c r="A148" s="499"/>
      <c r="B148" s="499"/>
      <c r="C148" s="502"/>
      <c r="D148" s="504"/>
      <c r="E148" s="513"/>
      <c r="F148" s="513"/>
      <c r="G148" s="172">
        <f t="shared" si="5"/>
        <v>400000000</v>
      </c>
      <c r="H148" s="495"/>
      <c r="I148" s="172">
        <v>400000000</v>
      </c>
      <c r="J148" s="173">
        <v>42199</v>
      </c>
      <c r="K148" s="174" t="s">
        <v>372</v>
      </c>
    </row>
    <row r="149" spans="1:12" ht="17.25" customHeight="1">
      <c r="A149" s="499"/>
      <c r="B149" s="499"/>
      <c r="C149" s="502"/>
      <c r="D149" s="504"/>
      <c r="E149" s="513"/>
      <c r="F149" s="513"/>
      <c r="G149" s="172">
        <f t="shared" si="5"/>
        <v>0</v>
      </c>
      <c r="H149" s="495"/>
      <c r="I149" s="185">
        <v>-200000000</v>
      </c>
      <c r="J149" s="173">
        <v>42202</v>
      </c>
      <c r="K149" s="187" t="s">
        <v>390</v>
      </c>
    </row>
    <row r="150" spans="1:12" ht="17.25" customHeight="1">
      <c r="A150" s="499"/>
      <c r="B150" s="499"/>
      <c r="C150" s="502"/>
      <c r="D150" s="504"/>
      <c r="E150" s="513"/>
      <c r="F150" s="513"/>
      <c r="G150" s="172">
        <f t="shared" si="5"/>
        <v>406490000</v>
      </c>
      <c r="H150" s="495"/>
      <c r="I150" s="151">
        <v>406490000</v>
      </c>
      <c r="J150" s="173">
        <v>42366</v>
      </c>
      <c r="K150" s="384" t="s">
        <v>372</v>
      </c>
    </row>
    <row r="151" spans="1:12" ht="17.25" customHeight="1">
      <c r="A151" s="499"/>
      <c r="B151" s="499"/>
      <c r="C151" s="502"/>
      <c r="D151" s="504"/>
      <c r="E151" s="513"/>
      <c r="F151" s="513"/>
      <c r="G151" s="172">
        <f t="shared" si="5"/>
        <v>0</v>
      </c>
      <c r="H151" s="495"/>
      <c r="I151" s="151">
        <v>-197695000</v>
      </c>
      <c r="J151" s="173">
        <v>42368</v>
      </c>
      <c r="K151" s="187" t="s">
        <v>390</v>
      </c>
    </row>
    <row r="152" spans="1:12" ht="17.25" customHeight="1">
      <c r="A152" s="499"/>
      <c r="B152" s="499"/>
      <c r="C152" s="502"/>
      <c r="D152" s="504"/>
      <c r="E152" s="513"/>
      <c r="F152" s="513"/>
      <c r="G152" s="172">
        <f t="shared" si="5"/>
        <v>0</v>
      </c>
      <c r="H152" s="495"/>
      <c r="I152" s="151"/>
      <c r="J152" s="151"/>
      <c r="K152" s="151"/>
    </row>
    <row r="153" spans="1:12" s="161" customFormat="1" ht="18" customHeight="1">
      <c r="A153" s="499"/>
      <c r="B153" s="499"/>
      <c r="C153" s="505" t="s">
        <v>94</v>
      </c>
      <c r="D153" s="506"/>
      <c r="E153" s="158">
        <f>SUM(E140:E152)</f>
        <v>3010100000</v>
      </c>
      <c r="F153" s="158">
        <f>SUM(F140:F152)</f>
        <v>3010100000</v>
      </c>
      <c r="G153" s="158">
        <f>SUM(G140:G152)</f>
        <v>3010100000</v>
      </c>
      <c r="H153" s="158">
        <f>SUM(H140:H152)</f>
        <v>2248700000</v>
      </c>
      <c r="I153" s="158">
        <f>SUM(I140:I152)</f>
        <v>2212405000</v>
      </c>
      <c r="J153" s="160" t="s">
        <v>1061</v>
      </c>
      <c r="K153" s="160" t="s">
        <v>42</v>
      </c>
      <c r="L153" s="302"/>
    </row>
    <row r="154" spans="1:12" s="161" customFormat="1" ht="18" customHeight="1">
      <c r="A154" s="499"/>
      <c r="B154" s="499"/>
      <c r="C154" s="505" t="s">
        <v>379</v>
      </c>
      <c r="D154" s="506"/>
      <c r="E154" s="162"/>
      <c r="F154" s="162"/>
      <c r="G154" s="163">
        <f>E153-G153</f>
        <v>0</v>
      </c>
      <c r="H154" s="162">
        <f>H153-K154+J154</f>
        <v>2212405000</v>
      </c>
      <c r="I154" s="163">
        <f>H154-I153</f>
        <v>0</v>
      </c>
      <c r="J154" s="322">
        <v>76140000</v>
      </c>
      <c r="K154" s="160">
        <f>H153*5%</f>
        <v>112435000</v>
      </c>
      <c r="L154" s="302" t="s">
        <v>1062</v>
      </c>
    </row>
    <row r="155" spans="1:12" ht="17.25" customHeight="1">
      <c r="A155" s="499">
        <v>20</v>
      </c>
      <c r="B155" s="499" t="s">
        <v>138</v>
      </c>
      <c r="C155" s="512" t="s">
        <v>395</v>
      </c>
      <c r="D155" s="514">
        <v>42014</v>
      </c>
      <c r="E155" s="508">
        <f>2200000000</f>
        <v>2200000000</v>
      </c>
      <c r="F155" s="508">
        <v>3500000000</v>
      </c>
      <c r="G155" s="172">
        <f>IF(I155&gt;0,I155,0)</f>
        <v>600000000</v>
      </c>
      <c r="H155" s="508">
        <v>2910000000</v>
      </c>
      <c r="I155" s="177">
        <v>600000000</v>
      </c>
      <c r="J155" s="173">
        <v>42034</v>
      </c>
      <c r="K155" s="174" t="s">
        <v>372</v>
      </c>
    </row>
    <row r="156" spans="1:12" ht="17.25" customHeight="1">
      <c r="A156" s="499"/>
      <c r="B156" s="499"/>
      <c r="C156" s="512"/>
      <c r="D156" s="512"/>
      <c r="E156" s="508"/>
      <c r="F156" s="508"/>
      <c r="G156" s="172">
        <f t="shared" ref="G156:G163" si="6">IF(I156&gt;0,I156,0)</f>
        <v>600000000</v>
      </c>
      <c r="H156" s="508"/>
      <c r="I156" s="177">
        <v>600000000</v>
      </c>
      <c r="J156" s="176">
        <v>42088</v>
      </c>
      <c r="K156" s="174" t="s">
        <v>372</v>
      </c>
    </row>
    <row r="157" spans="1:12" ht="17.25" customHeight="1">
      <c r="A157" s="499"/>
      <c r="B157" s="499"/>
      <c r="C157" s="512"/>
      <c r="D157" s="512"/>
      <c r="E157" s="508"/>
      <c r="F157" s="508"/>
      <c r="G157" s="172">
        <f t="shared" si="6"/>
        <v>500000000</v>
      </c>
      <c r="H157" s="508"/>
      <c r="I157" s="172">
        <v>500000000</v>
      </c>
      <c r="J157" s="176">
        <v>42131</v>
      </c>
      <c r="K157" s="174" t="s">
        <v>372</v>
      </c>
    </row>
    <row r="158" spans="1:12" ht="17.25" customHeight="1">
      <c r="A158" s="499"/>
      <c r="B158" s="499"/>
      <c r="C158" s="512"/>
      <c r="D158" s="512"/>
      <c r="E158" s="508"/>
      <c r="F158" s="508"/>
      <c r="G158" s="172">
        <f t="shared" si="6"/>
        <v>500000000</v>
      </c>
      <c r="H158" s="508"/>
      <c r="I158" s="172">
        <v>500000000</v>
      </c>
      <c r="J158" s="176">
        <v>42142</v>
      </c>
      <c r="K158" s="174" t="s">
        <v>372</v>
      </c>
    </row>
    <row r="159" spans="1:12" ht="17.25" customHeight="1">
      <c r="A159" s="499"/>
      <c r="B159" s="499"/>
      <c r="C159" s="512"/>
      <c r="D159" s="512"/>
      <c r="E159" s="508"/>
      <c r="F159" s="508"/>
      <c r="G159" s="172">
        <f t="shared" si="6"/>
        <v>0</v>
      </c>
      <c r="H159" s="508"/>
      <c r="I159" s="185">
        <v>-500000000</v>
      </c>
      <c r="J159" s="186">
        <v>42144</v>
      </c>
      <c r="K159" s="187" t="s">
        <v>390</v>
      </c>
    </row>
    <row r="160" spans="1:12" ht="17.25" customHeight="1">
      <c r="A160" s="499"/>
      <c r="B160" s="499"/>
      <c r="C160" s="512"/>
      <c r="D160" s="512"/>
      <c r="E160" s="508"/>
      <c r="F160" s="508"/>
      <c r="G160" s="172">
        <f t="shared" si="6"/>
        <v>500000000</v>
      </c>
      <c r="H160" s="508"/>
      <c r="I160" s="172">
        <v>500000000</v>
      </c>
      <c r="J160" s="176">
        <v>42164</v>
      </c>
      <c r="K160" s="174" t="s">
        <v>372</v>
      </c>
    </row>
    <row r="161" spans="1:12" ht="17.25" customHeight="1">
      <c r="A161" s="499"/>
      <c r="B161" s="499"/>
      <c r="C161" s="512"/>
      <c r="D161" s="512"/>
      <c r="E161" s="508"/>
      <c r="F161" s="508"/>
      <c r="G161" s="172">
        <f t="shared" si="6"/>
        <v>500000000</v>
      </c>
      <c r="H161" s="508"/>
      <c r="I161" s="172">
        <v>500000000</v>
      </c>
      <c r="J161" s="176">
        <v>42199</v>
      </c>
      <c r="K161" s="174" t="s">
        <v>372</v>
      </c>
    </row>
    <row r="162" spans="1:12" ht="17.25" customHeight="1">
      <c r="A162" s="499"/>
      <c r="B162" s="499"/>
      <c r="C162" s="512"/>
      <c r="D162" s="512"/>
      <c r="E162" s="508"/>
      <c r="F162" s="508"/>
      <c r="G162" s="172">
        <f t="shared" si="6"/>
        <v>0</v>
      </c>
      <c r="H162" s="508"/>
      <c r="I162" s="172">
        <v>-200000000</v>
      </c>
      <c r="J162" s="176">
        <v>42205</v>
      </c>
      <c r="K162" s="187" t="s">
        <v>390</v>
      </c>
    </row>
    <row r="163" spans="1:12" ht="17.25" customHeight="1">
      <c r="A163" s="499"/>
      <c r="B163" s="499"/>
      <c r="C163" s="512"/>
      <c r="D163" s="512"/>
      <c r="E163" s="508"/>
      <c r="F163" s="508"/>
      <c r="G163" s="172">
        <f t="shared" si="6"/>
        <v>0</v>
      </c>
      <c r="H163" s="508"/>
      <c r="I163" s="151"/>
      <c r="J163" s="176"/>
      <c r="K163" s="174"/>
    </row>
    <row r="164" spans="1:12" s="161" customFormat="1" ht="18" customHeight="1">
      <c r="A164" s="499"/>
      <c r="B164" s="499"/>
      <c r="C164" s="505" t="s">
        <v>94</v>
      </c>
      <c r="D164" s="506"/>
      <c r="E164" s="158">
        <f>SUM(E155:E163)</f>
        <v>2200000000</v>
      </c>
      <c r="F164" s="158">
        <f>SUM(F155:F163)</f>
        <v>3500000000</v>
      </c>
      <c r="G164" s="158">
        <f>SUM(G155:G163)</f>
        <v>3200000000</v>
      </c>
      <c r="H164" s="158">
        <f>SUM(H155:H163)</f>
        <v>2910000000</v>
      </c>
      <c r="I164" s="158">
        <f>SUM(I155:I163)</f>
        <v>2500000000</v>
      </c>
      <c r="J164" s="159"/>
      <c r="K164" s="160" t="s">
        <v>42</v>
      </c>
      <c r="L164" s="302"/>
    </row>
    <row r="165" spans="1:12" s="161" customFormat="1" ht="18" customHeight="1">
      <c r="A165" s="499"/>
      <c r="B165" s="499"/>
      <c r="C165" s="505" t="s">
        <v>379</v>
      </c>
      <c r="D165" s="506"/>
      <c r="E165" s="162"/>
      <c r="F165" s="162"/>
      <c r="G165" s="163">
        <f>E164-G164</f>
        <v>-1000000000</v>
      </c>
      <c r="H165" s="162"/>
      <c r="I165" s="163">
        <f>H164-I164</f>
        <v>410000000</v>
      </c>
      <c r="J165" s="159"/>
      <c r="K165" s="160"/>
      <c r="L165" s="302"/>
    </row>
    <row r="166" spans="1:12" ht="17.25" customHeight="1">
      <c r="A166" s="499">
        <v>21</v>
      </c>
      <c r="B166" s="499" t="s">
        <v>150</v>
      </c>
      <c r="C166" s="512" t="s">
        <v>396</v>
      </c>
      <c r="D166" s="514">
        <v>42088</v>
      </c>
      <c r="E166" s="508">
        <v>1893507770</v>
      </c>
      <c r="F166" s="508">
        <v>1858997690</v>
      </c>
      <c r="G166" s="172">
        <f t="shared" ref="G166:G170" si="7">IF(I166&gt;0,I166,0)</f>
        <v>360000000</v>
      </c>
      <c r="H166" s="508">
        <v>1300000000</v>
      </c>
      <c r="I166" s="177">
        <v>360000000</v>
      </c>
      <c r="J166" s="173">
        <v>42094</v>
      </c>
      <c r="K166" s="174" t="s">
        <v>372</v>
      </c>
    </row>
    <row r="167" spans="1:12" ht="17.25" customHeight="1">
      <c r="A167" s="499"/>
      <c r="B167" s="499"/>
      <c r="C167" s="512"/>
      <c r="D167" s="514"/>
      <c r="E167" s="508"/>
      <c r="F167" s="508"/>
      <c r="G167" s="172">
        <f t="shared" si="7"/>
        <v>500000000</v>
      </c>
      <c r="H167" s="508"/>
      <c r="I167" s="177">
        <v>500000000</v>
      </c>
      <c r="J167" s="173">
        <v>42381</v>
      </c>
      <c r="K167" s="421" t="s">
        <v>372</v>
      </c>
    </row>
    <row r="168" spans="1:12" ht="17.25" customHeight="1">
      <c r="A168" s="499"/>
      <c r="B168" s="499"/>
      <c r="C168" s="512"/>
      <c r="D168" s="514"/>
      <c r="E168" s="508"/>
      <c r="F168" s="508"/>
      <c r="G168" s="172">
        <f t="shared" si="7"/>
        <v>0</v>
      </c>
      <c r="H168" s="508"/>
      <c r="I168" s="172">
        <v>-200000000</v>
      </c>
      <c r="J168" s="173">
        <v>42382</v>
      </c>
      <c r="K168" s="187" t="s">
        <v>390</v>
      </c>
    </row>
    <row r="169" spans="1:12" ht="17.25" customHeight="1">
      <c r="A169" s="499"/>
      <c r="B169" s="499"/>
      <c r="C169" s="512"/>
      <c r="D169" s="514"/>
      <c r="E169" s="508"/>
      <c r="F169" s="508"/>
      <c r="G169" s="172">
        <f t="shared" si="7"/>
        <v>0</v>
      </c>
      <c r="H169" s="508"/>
      <c r="I169" s="177"/>
      <c r="J169" s="173"/>
      <c r="K169" s="421"/>
    </row>
    <row r="170" spans="1:12" ht="17.25" customHeight="1">
      <c r="A170" s="499"/>
      <c r="B170" s="499"/>
      <c r="C170" s="512"/>
      <c r="D170" s="512"/>
      <c r="E170" s="508"/>
      <c r="F170" s="508"/>
      <c r="G170" s="172">
        <f t="shared" si="7"/>
        <v>0</v>
      </c>
      <c r="H170" s="508"/>
      <c r="I170" s="151"/>
      <c r="J170" s="176"/>
      <c r="K170" s="174"/>
    </row>
    <row r="171" spans="1:12" s="161" customFormat="1" ht="18" customHeight="1">
      <c r="A171" s="499"/>
      <c r="B171" s="499"/>
      <c r="C171" s="505" t="s">
        <v>94</v>
      </c>
      <c r="D171" s="506"/>
      <c r="E171" s="158">
        <f>SUM(E166:E170)</f>
        <v>1893507770</v>
      </c>
      <c r="F171" s="158">
        <f>SUM(F166:F170)</f>
        <v>1858997690</v>
      </c>
      <c r="G171" s="158">
        <f>SUM(G166:G170)</f>
        <v>860000000</v>
      </c>
      <c r="H171" s="158">
        <f>SUM(H166:H170)</f>
        <v>1300000000</v>
      </c>
      <c r="I171" s="158">
        <f>SUM(I166:I170)</f>
        <v>660000000</v>
      </c>
      <c r="J171" s="159"/>
      <c r="K171" s="160" t="s">
        <v>42</v>
      </c>
      <c r="L171" s="302"/>
    </row>
    <row r="172" spans="1:12" s="161" customFormat="1" ht="18" customHeight="1">
      <c r="A172" s="499"/>
      <c r="B172" s="499"/>
      <c r="C172" s="505" t="s">
        <v>379</v>
      </c>
      <c r="D172" s="506"/>
      <c r="E172" s="162"/>
      <c r="F172" s="162"/>
      <c r="G172" s="163">
        <f>E171-G171</f>
        <v>1033507770</v>
      </c>
      <c r="H172" s="162"/>
      <c r="I172" s="163">
        <f>H171-I171</f>
        <v>640000000</v>
      </c>
      <c r="J172" s="159"/>
      <c r="K172" s="160"/>
      <c r="L172" s="302"/>
    </row>
    <row r="173" spans="1:12" ht="16.5" customHeight="1">
      <c r="A173" s="499">
        <v>22</v>
      </c>
      <c r="B173" s="500" t="s">
        <v>305</v>
      </c>
      <c r="C173" s="501" t="s">
        <v>405</v>
      </c>
      <c r="D173" s="503">
        <v>42173</v>
      </c>
      <c r="E173" s="494"/>
      <c r="F173" s="494">
        <v>3652000000</v>
      </c>
      <c r="G173" s="172">
        <f>IF(I173&gt;0,I173,0)</f>
        <v>100000000</v>
      </c>
      <c r="H173" s="494">
        <v>2552000000</v>
      </c>
      <c r="I173" s="172">
        <v>100000000</v>
      </c>
      <c r="J173" s="176">
        <v>42185</v>
      </c>
      <c r="K173" s="174" t="s">
        <v>372</v>
      </c>
    </row>
    <row r="174" spans="1:12" ht="16.5" customHeight="1">
      <c r="A174" s="499"/>
      <c r="B174" s="500"/>
      <c r="C174" s="502"/>
      <c r="D174" s="502"/>
      <c r="E174" s="495"/>
      <c r="F174" s="495"/>
      <c r="G174" s="172">
        <f t="shared" ref="G174:G196" si="8">IF(I174&gt;0,I174,0)</f>
        <v>200000000</v>
      </c>
      <c r="H174" s="495"/>
      <c r="I174" s="172">
        <v>200000000</v>
      </c>
      <c r="J174" s="176">
        <v>42187</v>
      </c>
      <c r="K174" s="174" t="s">
        <v>372</v>
      </c>
    </row>
    <row r="175" spans="1:12" ht="16.5" customHeight="1">
      <c r="A175" s="499"/>
      <c r="B175" s="500"/>
      <c r="C175" s="502"/>
      <c r="D175" s="502"/>
      <c r="E175" s="495"/>
      <c r="F175" s="495"/>
      <c r="G175" s="172">
        <f t="shared" si="8"/>
        <v>500000000</v>
      </c>
      <c r="H175" s="495"/>
      <c r="I175" s="172">
        <v>500000000</v>
      </c>
      <c r="J175" s="217">
        <v>42229</v>
      </c>
      <c r="K175" s="216" t="s">
        <v>372</v>
      </c>
    </row>
    <row r="176" spans="1:12" ht="16.5" customHeight="1">
      <c r="A176" s="499"/>
      <c r="B176" s="500"/>
      <c r="C176" s="502"/>
      <c r="D176" s="502"/>
      <c r="E176" s="495"/>
      <c r="F176" s="495"/>
      <c r="G176" s="172">
        <f t="shared" si="8"/>
        <v>0</v>
      </c>
      <c r="H176" s="495"/>
      <c r="I176" s="193">
        <v>-300000000</v>
      </c>
      <c r="J176" s="194">
        <v>42234</v>
      </c>
      <c r="K176" s="195" t="s">
        <v>390</v>
      </c>
    </row>
    <row r="177" spans="1:11" ht="16.5" customHeight="1">
      <c r="A177" s="499"/>
      <c r="B177" s="500"/>
      <c r="C177" s="502"/>
      <c r="D177" s="502"/>
      <c r="E177" s="495"/>
      <c r="F177" s="495"/>
      <c r="G177" s="172">
        <f t="shared" si="8"/>
        <v>400000000</v>
      </c>
      <c r="H177" s="495"/>
      <c r="I177" s="172">
        <v>400000000</v>
      </c>
      <c r="J177" s="284">
        <v>42275</v>
      </c>
      <c r="K177" s="285" t="s">
        <v>372</v>
      </c>
    </row>
    <row r="178" spans="1:11" ht="16.5" customHeight="1">
      <c r="A178" s="499"/>
      <c r="B178" s="500"/>
      <c r="C178" s="502"/>
      <c r="D178" s="502"/>
      <c r="E178" s="495"/>
      <c r="F178" s="495"/>
      <c r="G178" s="172">
        <f t="shared" si="8"/>
        <v>0</v>
      </c>
      <c r="H178" s="495"/>
      <c r="I178" s="193">
        <v>-200000000</v>
      </c>
      <c r="J178" s="194">
        <v>42279</v>
      </c>
      <c r="K178" s="195" t="s">
        <v>390</v>
      </c>
    </row>
    <row r="179" spans="1:11" ht="16.5" customHeight="1">
      <c r="A179" s="499"/>
      <c r="B179" s="500"/>
      <c r="C179" s="502"/>
      <c r="D179" s="502"/>
      <c r="E179" s="495"/>
      <c r="F179" s="495"/>
      <c r="G179" s="172">
        <f t="shared" si="8"/>
        <v>150000000</v>
      </c>
      <c r="H179" s="495"/>
      <c r="I179" s="172">
        <v>150000000</v>
      </c>
      <c r="J179" s="300">
        <v>42291</v>
      </c>
      <c r="K179" s="299" t="s">
        <v>372</v>
      </c>
    </row>
    <row r="180" spans="1:11" ht="16.5" customHeight="1">
      <c r="A180" s="499"/>
      <c r="B180" s="500"/>
      <c r="C180" s="502"/>
      <c r="D180" s="502"/>
      <c r="E180" s="495"/>
      <c r="F180" s="495"/>
      <c r="G180" s="172">
        <f t="shared" si="8"/>
        <v>400000000</v>
      </c>
      <c r="H180" s="495"/>
      <c r="I180" s="172">
        <v>400000000</v>
      </c>
      <c r="J180" s="300">
        <v>42305</v>
      </c>
      <c r="K180" s="299" t="s">
        <v>372</v>
      </c>
    </row>
    <row r="181" spans="1:11" ht="16.5" customHeight="1">
      <c r="A181" s="499"/>
      <c r="B181" s="500"/>
      <c r="C181" s="502"/>
      <c r="D181" s="502"/>
      <c r="E181" s="495"/>
      <c r="F181" s="495"/>
      <c r="G181" s="172">
        <f t="shared" si="8"/>
        <v>0</v>
      </c>
      <c r="H181" s="495"/>
      <c r="I181" s="172">
        <v>-250000000</v>
      </c>
      <c r="J181" s="194">
        <v>42311</v>
      </c>
      <c r="K181" s="195" t="s">
        <v>390</v>
      </c>
    </row>
    <row r="182" spans="1:11" ht="16.5" customHeight="1">
      <c r="A182" s="499"/>
      <c r="B182" s="500"/>
      <c r="C182" s="502"/>
      <c r="D182" s="502"/>
      <c r="E182" s="495"/>
      <c r="F182" s="495"/>
      <c r="G182" s="172">
        <f t="shared" si="8"/>
        <v>300000000</v>
      </c>
      <c r="H182" s="495"/>
      <c r="I182" s="172">
        <v>300000000</v>
      </c>
      <c r="J182" s="300">
        <v>42374</v>
      </c>
      <c r="K182" s="416" t="s">
        <v>372</v>
      </c>
    </row>
    <row r="183" spans="1:11" ht="16.5" customHeight="1">
      <c r="A183" s="499"/>
      <c r="B183" s="500"/>
      <c r="C183" s="502"/>
      <c r="D183" s="502"/>
      <c r="E183" s="495"/>
      <c r="F183" s="495"/>
      <c r="G183" s="172">
        <f t="shared" si="8"/>
        <v>0</v>
      </c>
      <c r="H183" s="495"/>
      <c r="I183" s="172">
        <v>-200000000</v>
      </c>
      <c r="J183" s="194">
        <v>42374</v>
      </c>
      <c r="K183" s="195" t="s">
        <v>390</v>
      </c>
    </row>
    <row r="184" spans="1:11" ht="16.5" customHeight="1">
      <c r="A184" s="499"/>
      <c r="B184" s="500"/>
      <c r="C184" s="502"/>
      <c r="D184" s="502"/>
      <c r="E184" s="495"/>
      <c r="F184" s="495"/>
      <c r="G184" s="172">
        <f t="shared" si="8"/>
        <v>50000000</v>
      </c>
      <c r="H184" s="495"/>
      <c r="I184" s="172">
        <v>50000000</v>
      </c>
      <c r="J184" s="300">
        <v>42459</v>
      </c>
      <c r="K184" s="434" t="s">
        <v>372</v>
      </c>
    </row>
    <row r="185" spans="1:11" ht="16.5" customHeight="1">
      <c r="A185" s="499"/>
      <c r="B185" s="500"/>
      <c r="C185" s="502"/>
      <c r="D185" s="502"/>
      <c r="E185" s="495"/>
      <c r="F185" s="495"/>
      <c r="G185" s="172"/>
      <c r="H185" s="495"/>
      <c r="I185" s="172">
        <v>20000000</v>
      </c>
      <c r="J185" s="436">
        <v>42464</v>
      </c>
      <c r="K185" s="437" t="s">
        <v>386</v>
      </c>
    </row>
    <row r="186" spans="1:11" ht="16.5" customHeight="1">
      <c r="A186" s="499"/>
      <c r="B186" s="500"/>
      <c r="C186" s="502"/>
      <c r="D186" s="502"/>
      <c r="E186" s="495"/>
      <c r="F186" s="495"/>
      <c r="G186" s="172"/>
      <c r="H186" s="495"/>
      <c r="I186" s="172">
        <v>19481000</v>
      </c>
      <c r="J186" s="450">
        <v>42466</v>
      </c>
      <c r="K186" s="451" t="s">
        <v>386</v>
      </c>
    </row>
    <row r="187" spans="1:11" ht="16.5" customHeight="1">
      <c r="A187" s="499"/>
      <c r="B187" s="500"/>
      <c r="C187" s="502"/>
      <c r="D187" s="502"/>
      <c r="E187" s="495"/>
      <c r="F187" s="495"/>
      <c r="G187" s="172"/>
      <c r="H187" s="495"/>
      <c r="I187" s="172">
        <v>20000000</v>
      </c>
      <c r="J187" s="450">
        <v>42468</v>
      </c>
      <c r="K187" s="451" t="s">
        <v>386</v>
      </c>
    </row>
    <row r="188" spans="1:11" ht="16.5" customHeight="1">
      <c r="A188" s="499"/>
      <c r="B188" s="500"/>
      <c r="C188" s="502"/>
      <c r="D188" s="502"/>
      <c r="E188" s="495"/>
      <c r="F188" s="495"/>
      <c r="G188" s="172">
        <f t="shared" si="8"/>
        <v>60000000</v>
      </c>
      <c r="H188" s="495"/>
      <c r="I188" s="172">
        <v>60000000</v>
      </c>
      <c r="J188" s="450">
        <v>42486</v>
      </c>
      <c r="K188" s="451" t="s">
        <v>372</v>
      </c>
    </row>
    <row r="189" spans="1:11" ht="16.5" customHeight="1">
      <c r="A189" s="499"/>
      <c r="B189" s="500"/>
      <c r="C189" s="502"/>
      <c r="D189" s="502"/>
      <c r="E189" s="495"/>
      <c r="F189" s="495"/>
      <c r="G189" s="172"/>
      <c r="H189" s="495"/>
      <c r="I189" s="172">
        <v>20000000</v>
      </c>
      <c r="J189" s="436">
        <v>42496</v>
      </c>
      <c r="K189" s="451" t="s">
        <v>386</v>
      </c>
    </row>
    <row r="190" spans="1:11" ht="16.5" customHeight="1">
      <c r="A190" s="499"/>
      <c r="B190" s="500"/>
      <c r="C190" s="502"/>
      <c r="D190" s="502"/>
      <c r="E190" s="495"/>
      <c r="F190" s="495"/>
      <c r="G190" s="172"/>
      <c r="H190" s="495"/>
      <c r="I190" s="172">
        <v>10000000</v>
      </c>
      <c r="J190" s="450">
        <v>42551</v>
      </c>
      <c r="K190" s="452" t="s">
        <v>386</v>
      </c>
    </row>
    <row r="191" spans="1:11" ht="16.5" customHeight="1">
      <c r="A191" s="499"/>
      <c r="B191" s="500"/>
      <c r="C191" s="502"/>
      <c r="D191" s="502"/>
      <c r="E191" s="495"/>
      <c r="F191" s="495"/>
      <c r="G191" s="172"/>
      <c r="H191" s="495"/>
      <c r="I191" s="172">
        <v>20000000</v>
      </c>
      <c r="J191" s="450">
        <v>42555</v>
      </c>
      <c r="K191" s="453" t="s">
        <v>386</v>
      </c>
    </row>
    <row r="192" spans="1:11" ht="16.5" customHeight="1">
      <c r="A192" s="499"/>
      <c r="B192" s="500"/>
      <c r="C192" s="502"/>
      <c r="D192" s="502"/>
      <c r="E192" s="495"/>
      <c r="F192" s="495"/>
      <c r="G192" s="172"/>
      <c r="H192" s="495"/>
      <c r="I192" s="172">
        <v>-100000000</v>
      </c>
      <c r="J192" s="457">
        <v>42647</v>
      </c>
      <c r="K192" s="195" t="s">
        <v>390</v>
      </c>
    </row>
    <row r="193" spans="1:12" ht="16.5" customHeight="1">
      <c r="A193" s="499"/>
      <c r="B193" s="500"/>
      <c r="C193" s="502"/>
      <c r="D193" s="502"/>
      <c r="E193" s="495"/>
      <c r="F193" s="495"/>
      <c r="G193" s="172">
        <f>I193</f>
        <v>200000000</v>
      </c>
      <c r="H193" s="495"/>
      <c r="I193" s="172">
        <v>200000000</v>
      </c>
      <c r="J193" s="457">
        <v>42653</v>
      </c>
      <c r="K193" s="458" t="s">
        <v>372</v>
      </c>
    </row>
    <row r="194" spans="1:12" ht="16.5" customHeight="1">
      <c r="A194" s="499"/>
      <c r="B194" s="500"/>
      <c r="C194" s="502"/>
      <c r="D194" s="502"/>
      <c r="E194" s="495"/>
      <c r="F194" s="495"/>
      <c r="G194" s="172"/>
      <c r="H194" s="495"/>
      <c r="I194" s="172"/>
      <c r="J194" s="457"/>
      <c r="K194" s="458"/>
    </row>
    <row r="195" spans="1:12" ht="16.5" customHeight="1">
      <c r="A195" s="499"/>
      <c r="B195" s="500"/>
      <c r="C195" s="502"/>
      <c r="D195" s="502"/>
      <c r="E195" s="495"/>
      <c r="F195" s="495"/>
      <c r="G195" s="172"/>
      <c r="H195" s="495"/>
      <c r="I195" s="172"/>
      <c r="J195" s="450"/>
      <c r="K195" s="451"/>
    </row>
    <row r="196" spans="1:12" ht="16.5" customHeight="1">
      <c r="A196" s="499"/>
      <c r="B196" s="500"/>
      <c r="C196" s="521"/>
      <c r="D196" s="521"/>
      <c r="E196" s="552"/>
      <c r="F196" s="552"/>
      <c r="G196" s="172">
        <f t="shared" si="8"/>
        <v>0</v>
      </c>
      <c r="H196" s="552"/>
      <c r="I196" s="172"/>
      <c r="J196" s="297"/>
      <c r="K196" s="298"/>
    </row>
    <row r="197" spans="1:12" s="161" customFormat="1" ht="18" customHeight="1">
      <c r="A197" s="499"/>
      <c r="B197" s="500"/>
      <c r="C197" s="505" t="s">
        <v>94</v>
      </c>
      <c r="D197" s="506"/>
      <c r="E197" s="158">
        <v>2205000000</v>
      </c>
      <c r="F197" s="158">
        <f>SUM(F173:F196)</f>
        <v>3652000000</v>
      </c>
      <c r="G197" s="158">
        <f>SUM(G173:G196)</f>
        <v>2360000000</v>
      </c>
      <c r="H197" s="158">
        <f>SUM(H173:H196)</f>
        <v>2552000000</v>
      </c>
      <c r="I197" s="158">
        <f>SUM(I173:I196)</f>
        <v>1419481000</v>
      </c>
      <c r="J197" s="159"/>
      <c r="K197" s="160" t="s">
        <v>42</v>
      </c>
      <c r="L197" s="302"/>
    </row>
    <row r="198" spans="1:12" s="161" customFormat="1" ht="18" customHeight="1">
      <c r="A198" s="499"/>
      <c r="B198" s="500"/>
      <c r="C198" s="505" t="s">
        <v>379</v>
      </c>
      <c r="D198" s="506"/>
      <c r="E198" s="162"/>
      <c r="F198" s="162"/>
      <c r="G198" s="163">
        <f>E197-G197</f>
        <v>-155000000</v>
      </c>
      <c r="H198" s="162"/>
      <c r="I198" s="163">
        <f>H197-I197</f>
        <v>1132519000</v>
      </c>
      <c r="J198" s="159"/>
      <c r="K198" s="160"/>
      <c r="L198" s="302"/>
    </row>
    <row r="199" spans="1:12" ht="17.25" customHeight="1">
      <c r="A199" s="499">
        <v>23</v>
      </c>
      <c r="B199" s="499" t="s">
        <v>151</v>
      </c>
      <c r="C199" s="512"/>
      <c r="D199" s="514">
        <v>42094</v>
      </c>
      <c r="E199" s="508">
        <f>650650000+49500000</f>
        <v>700150000</v>
      </c>
      <c r="F199" s="508">
        <f>650650000+49500000</f>
        <v>700150000</v>
      </c>
      <c r="G199" s="172">
        <f t="shared" ref="G199:G203" si="9">IF(I199&gt;0,I199,0)</f>
        <v>195195000</v>
      </c>
      <c r="H199" s="508">
        <f>485650000+49500000+15000000-5200000</f>
        <v>544950000</v>
      </c>
      <c r="I199" s="172">
        <v>195195000</v>
      </c>
      <c r="J199" s="176">
        <v>42103</v>
      </c>
      <c r="K199" s="174" t="s">
        <v>372</v>
      </c>
    </row>
    <row r="200" spans="1:12" ht="17.25" customHeight="1">
      <c r="A200" s="499"/>
      <c r="B200" s="499"/>
      <c r="C200" s="512"/>
      <c r="D200" s="514"/>
      <c r="E200" s="508"/>
      <c r="F200" s="508"/>
      <c r="G200" s="172">
        <f t="shared" si="9"/>
        <v>140000000</v>
      </c>
      <c r="H200" s="508"/>
      <c r="I200" s="172">
        <v>140000000</v>
      </c>
      <c r="J200" s="176">
        <v>42170</v>
      </c>
      <c r="K200" s="174" t="s">
        <v>372</v>
      </c>
    </row>
    <row r="201" spans="1:12" ht="17.25" customHeight="1">
      <c r="A201" s="499"/>
      <c r="B201" s="499"/>
      <c r="C201" s="512"/>
      <c r="D201" s="514"/>
      <c r="E201" s="508"/>
      <c r="F201" s="508"/>
      <c r="G201" s="172">
        <f t="shared" si="9"/>
        <v>50000000</v>
      </c>
      <c r="H201" s="508"/>
      <c r="I201" s="172">
        <v>50000000</v>
      </c>
      <c r="J201" s="377">
        <v>42319</v>
      </c>
      <c r="K201" s="378" t="s">
        <v>372</v>
      </c>
    </row>
    <row r="202" spans="1:12" ht="17.25" customHeight="1">
      <c r="A202" s="499"/>
      <c r="B202" s="499"/>
      <c r="C202" s="512"/>
      <c r="D202" s="514"/>
      <c r="E202" s="508"/>
      <c r="F202" s="508"/>
      <c r="G202" s="172">
        <f t="shared" si="9"/>
        <v>314955000</v>
      </c>
      <c r="H202" s="508"/>
      <c r="I202" s="172">
        <v>314955000</v>
      </c>
      <c r="J202" s="377">
        <v>42375</v>
      </c>
      <c r="K202" s="418" t="s">
        <v>372</v>
      </c>
    </row>
    <row r="203" spans="1:12" ht="16.5" customHeight="1">
      <c r="A203" s="499"/>
      <c r="B203" s="499"/>
      <c r="C203" s="512"/>
      <c r="D203" s="514"/>
      <c r="E203" s="508"/>
      <c r="F203" s="508"/>
      <c r="G203" s="172">
        <f t="shared" si="9"/>
        <v>0</v>
      </c>
      <c r="H203" s="508"/>
      <c r="I203" s="151">
        <v>-155200000</v>
      </c>
      <c r="J203" s="176">
        <v>42380</v>
      </c>
      <c r="K203" s="195" t="s">
        <v>390</v>
      </c>
    </row>
    <row r="204" spans="1:12" s="161" customFormat="1" ht="18" customHeight="1">
      <c r="A204" s="499"/>
      <c r="B204" s="499"/>
      <c r="C204" s="505" t="s">
        <v>94</v>
      </c>
      <c r="D204" s="506"/>
      <c r="E204" s="158">
        <f>SUM(E199:E203)</f>
        <v>700150000</v>
      </c>
      <c r="F204" s="158">
        <f>SUM(F199:F203)</f>
        <v>700150000</v>
      </c>
      <c r="G204" s="158">
        <f>SUM(G199:G203)</f>
        <v>700150000</v>
      </c>
      <c r="H204" s="158">
        <f>SUM(H199:H203)</f>
        <v>544950000</v>
      </c>
      <c r="I204" s="158">
        <f>SUM(I199:I203)</f>
        <v>544950000</v>
      </c>
      <c r="J204" s="159"/>
      <c r="K204" s="160" t="s">
        <v>42</v>
      </c>
      <c r="L204" s="302"/>
    </row>
    <row r="205" spans="1:12" s="161" customFormat="1" ht="18" customHeight="1">
      <c r="A205" s="499"/>
      <c r="B205" s="499"/>
      <c r="C205" s="505" t="s">
        <v>379</v>
      </c>
      <c r="D205" s="506"/>
      <c r="E205" s="162"/>
      <c r="F205" s="162"/>
      <c r="G205" s="163">
        <f>E204-G204</f>
        <v>0</v>
      </c>
      <c r="H205" s="162"/>
      <c r="I205" s="163">
        <f>H204-I204</f>
        <v>0</v>
      </c>
      <c r="J205" s="159"/>
      <c r="K205" s="160"/>
      <c r="L205" s="302"/>
    </row>
    <row r="206" spans="1:12" ht="16.5" customHeight="1">
      <c r="A206" s="499">
        <v>24</v>
      </c>
      <c r="B206" s="499" t="s">
        <v>152</v>
      </c>
      <c r="C206" s="512" t="s">
        <v>397</v>
      </c>
      <c r="D206" s="514">
        <v>41618</v>
      </c>
      <c r="E206" s="508">
        <v>394100000</v>
      </c>
      <c r="F206" s="508">
        <v>394100000</v>
      </c>
      <c r="G206" s="172">
        <f t="shared" ref="G206:G210" si="10">IF(I206&gt;0,I206,0)</f>
        <v>100000000</v>
      </c>
      <c r="H206" s="508">
        <v>298500000</v>
      </c>
      <c r="I206" s="172">
        <v>100000000</v>
      </c>
      <c r="J206" s="176">
        <v>42116</v>
      </c>
      <c r="K206" s="174" t="s">
        <v>372</v>
      </c>
    </row>
    <row r="207" spans="1:12" ht="16.5" customHeight="1">
      <c r="A207" s="499"/>
      <c r="B207" s="499"/>
      <c r="C207" s="512"/>
      <c r="D207" s="514"/>
      <c r="E207" s="508"/>
      <c r="F207" s="508"/>
      <c r="G207" s="172">
        <f t="shared" si="10"/>
        <v>200000000</v>
      </c>
      <c r="H207" s="508"/>
      <c r="I207" s="172">
        <v>200000000</v>
      </c>
      <c r="J207" s="420">
        <v>42381</v>
      </c>
      <c r="K207" s="421" t="s">
        <v>372</v>
      </c>
    </row>
    <row r="208" spans="1:12" ht="16.5" customHeight="1">
      <c r="A208" s="499"/>
      <c r="B208" s="499"/>
      <c r="C208" s="512"/>
      <c r="D208" s="514"/>
      <c r="E208" s="508"/>
      <c r="F208" s="508"/>
      <c r="G208" s="172">
        <f t="shared" si="10"/>
        <v>0</v>
      </c>
      <c r="H208" s="508"/>
      <c r="I208" s="172">
        <v>-100000000</v>
      </c>
      <c r="J208" s="420">
        <v>42382</v>
      </c>
      <c r="K208" s="195" t="s">
        <v>390</v>
      </c>
    </row>
    <row r="209" spans="1:12" ht="16.5" customHeight="1">
      <c r="A209" s="499"/>
      <c r="B209" s="499"/>
      <c r="C209" s="512"/>
      <c r="D209" s="514"/>
      <c r="E209" s="508"/>
      <c r="F209" s="508"/>
      <c r="G209" s="172">
        <f t="shared" si="10"/>
        <v>94100000</v>
      </c>
      <c r="H209" s="508"/>
      <c r="I209" s="172">
        <v>94100000</v>
      </c>
      <c r="J209" s="457">
        <v>42653</v>
      </c>
      <c r="K209" s="458" t="s">
        <v>372</v>
      </c>
    </row>
    <row r="210" spans="1:12" ht="16.5" customHeight="1">
      <c r="A210" s="499"/>
      <c r="B210" s="499"/>
      <c r="C210" s="512"/>
      <c r="D210" s="514"/>
      <c r="E210" s="508"/>
      <c r="F210" s="508"/>
      <c r="G210" s="172">
        <f t="shared" si="10"/>
        <v>0</v>
      </c>
      <c r="H210" s="508"/>
      <c r="I210" s="151"/>
      <c r="J210" s="176"/>
      <c r="K210" s="188"/>
    </row>
    <row r="211" spans="1:12" s="161" customFormat="1" ht="18" customHeight="1">
      <c r="A211" s="499"/>
      <c r="B211" s="499"/>
      <c r="C211" s="505" t="s">
        <v>94</v>
      </c>
      <c r="D211" s="506"/>
      <c r="E211" s="158">
        <f>SUM(E206:E210)</f>
        <v>394100000</v>
      </c>
      <c r="F211" s="158">
        <f>SUM(F206:F210)</f>
        <v>394100000</v>
      </c>
      <c r="G211" s="158">
        <f>SUM(G206:G210)</f>
        <v>394100000</v>
      </c>
      <c r="H211" s="158">
        <f>SUM(H206:H210)</f>
        <v>298500000</v>
      </c>
      <c r="I211" s="158">
        <f>SUM(I206:I210)</f>
        <v>294100000</v>
      </c>
      <c r="J211" s="159"/>
      <c r="K211" s="160" t="s">
        <v>42</v>
      </c>
      <c r="L211" s="302"/>
    </row>
    <row r="212" spans="1:12" s="161" customFormat="1" ht="18" customHeight="1">
      <c r="A212" s="499"/>
      <c r="B212" s="499"/>
      <c r="C212" s="505" t="s">
        <v>379</v>
      </c>
      <c r="D212" s="506"/>
      <c r="E212" s="162"/>
      <c r="F212" s="162"/>
      <c r="G212" s="163">
        <f>E211-G211</f>
        <v>0</v>
      </c>
      <c r="H212" s="162"/>
      <c r="I212" s="163">
        <f>H211-I211</f>
        <v>4400000</v>
      </c>
      <c r="J212" s="159"/>
      <c r="K212" s="160"/>
      <c r="L212" s="302"/>
    </row>
    <row r="213" spans="1:12" ht="16.5" customHeight="1">
      <c r="A213" s="499">
        <v>25</v>
      </c>
      <c r="B213" s="499" t="s">
        <v>172</v>
      </c>
      <c r="C213" s="512" t="s">
        <v>398</v>
      </c>
      <c r="D213" s="514"/>
      <c r="E213" s="508">
        <v>890000000</v>
      </c>
      <c r="F213" s="508">
        <v>898744036</v>
      </c>
      <c r="G213" s="172">
        <f t="shared" ref="G213:G223" si="11">IF(I213&gt;0,I213,0)</f>
        <v>150000000</v>
      </c>
      <c r="H213" s="508">
        <f>663683801</f>
        <v>663683801</v>
      </c>
      <c r="I213" s="172">
        <v>150000000</v>
      </c>
      <c r="J213" s="176">
        <v>42132</v>
      </c>
      <c r="K213" s="174" t="s">
        <v>372</v>
      </c>
    </row>
    <row r="214" spans="1:12" ht="16.5" customHeight="1">
      <c r="A214" s="499"/>
      <c r="B214" s="499"/>
      <c r="C214" s="512"/>
      <c r="D214" s="514"/>
      <c r="E214" s="508"/>
      <c r="F214" s="508"/>
      <c r="G214" s="172">
        <f t="shared" si="11"/>
        <v>150000000</v>
      </c>
      <c r="H214" s="508"/>
      <c r="I214" s="172">
        <v>150000000</v>
      </c>
      <c r="J214" s="176">
        <v>42144</v>
      </c>
      <c r="K214" s="174" t="s">
        <v>372</v>
      </c>
    </row>
    <row r="215" spans="1:12" ht="16.5" customHeight="1">
      <c r="A215" s="499"/>
      <c r="B215" s="499"/>
      <c r="C215" s="512"/>
      <c r="D215" s="514"/>
      <c r="E215" s="508"/>
      <c r="F215" s="508"/>
      <c r="G215" s="172">
        <f t="shared" si="11"/>
        <v>50000000</v>
      </c>
      <c r="H215" s="508"/>
      <c r="I215" s="172">
        <v>50000000</v>
      </c>
      <c r="J215" s="176">
        <v>42157</v>
      </c>
      <c r="K215" s="174" t="s">
        <v>372</v>
      </c>
    </row>
    <row r="216" spans="1:12" ht="16.5" customHeight="1">
      <c r="A216" s="499"/>
      <c r="B216" s="499"/>
      <c r="C216" s="512"/>
      <c r="D216" s="514"/>
      <c r="E216" s="508"/>
      <c r="F216" s="508"/>
      <c r="G216" s="172">
        <f t="shared" si="11"/>
        <v>200000000</v>
      </c>
      <c r="H216" s="508"/>
      <c r="I216" s="172">
        <v>200000000</v>
      </c>
      <c r="J216" s="176">
        <v>42167</v>
      </c>
      <c r="K216" s="174" t="s">
        <v>372</v>
      </c>
    </row>
    <row r="217" spans="1:12" ht="16.5" customHeight="1">
      <c r="A217" s="499"/>
      <c r="B217" s="499"/>
      <c r="C217" s="512"/>
      <c r="D217" s="514"/>
      <c r="E217" s="508"/>
      <c r="F217" s="508"/>
      <c r="G217" s="172">
        <f t="shared" si="11"/>
        <v>100000000</v>
      </c>
      <c r="H217" s="508"/>
      <c r="I217" s="172">
        <v>100000000</v>
      </c>
      <c r="J217" s="176">
        <v>42198</v>
      </c>
      <c r="K217" s="174" t="s">
        <v>372</v>
      </c>
    </row>
    <row r="218" spans="1:12" ht="16.5" customHeight="1">
      <c r="A218" s="499"/>
      <c r="B218" s="499"/>
      <c r="C218" s="512" t="s">
        <v>413</v>
      </c>
      <c r="D218" s="514"/>
      <c r="E218" s="508"/>
      <c r="F218" s="508">
        <v>627830692</v>
      </c>
      <c r="G218" s="172">
        <f t="shared" si="11"/>
        <v>400000000</v>
      </c>
      <c r="H218" s="508">
        <v>304043967</v>
      </c>
      <c r="I218" s="172">
        <v>400000000</v>
      </c>
      <c r="J218" s="176">
        <v>42219</v>
      </c>
      <c r="K218" s="174" t="s">
        <v>372</v>
      </c>
    </row>
    <row r="219" spans="1:12" ht="16.5" customHeight="1">
      <c r="A219" s="499"/>
      <c r="B219" s="499"/>
      <c r="C219" s="512"/>
      <c r="D219" s="514"/>
      <c r="E219" s="508"/>
      <c r="F219" s="508"/>
      <c r="G219" s="172">
        <f t="shared" si="11"/>
        <v>0</v>
      </c>
      <c r="H219" s="508"/>
      <c r="I219" s="193">
        <v>-200000000</v>
      </c>
      <c r="J219" s="194">
        <v>42220</v>
      </c>
      <c r="K219" s="195" t="s">
        <v>390</v>
      </c>
    </row>
    <row r="220" spans="1:12" ht="16.5" customHeight="1">
      <c r="A220" s="499"/>
      <c r="B220" s="499"/>
      <c r="C220" s="512"/>
      <c r="D220" s="514"/>
      <c r="E220" s="508"/>
      <c r="F220" s="508"/>
      <c r="G220" s="172">
        <f t="shared" si="11"/>
        <v>200000000</v>
      </c>
      <c r="H220" s="508"/>
      <c r="I220" s="172">
        <v>200000000</v>
      </c>
      <c r="J220" s="415">
        <v>42368</v>
      </c>
      <c r="K220" s="416" t="s">
        <v>372</v>
      </c>
    </row>
    <row r="221" spans="1:12" ht="16.5" customHeight="1">
      <c r="A221" s="499"/>
      <c r="B221" s="499"/>
      <c r="C221" s="512"/>
      <c r="D221" s="514"/>
      <c r="E221" s="508"/>
      <c r="F221" s="508"/>
      <c r="G221" s="172">
        <f t="shared" si="11"/>
        <v>0</v>
      </c>
      <c r="H221" s="508"/>
      <c r="I221" s="193">
        <v>-100000000</v>
      </c>
      <c r="J221" s="194">
        <v>42368</v>
      </c>
      <c r="K221" s="195" t="s">
        <v>390</v>
      </c>
    </row>
    <row r="222" spans="1:12" ht="16.5" customHeight="1">
      <c r="A222" s="499"/>
      <c r="B222" s="499"/>
      <c r="C222" s="512"/>
      <c r="D222" s="514"/>
      <c r="E222" s="508"/>
      <c r="F222" s="508"/>
      <c r="G222" s="172">
        <f t="shared" si="11"/>
        <v>0</v>
      </c>
      <c r="H222" s="508"/>
      <c r="I222" s="172"/>
      <c r="J222" s="415"/>
      <c r="K222" s="419"/>
    </row>
    <row r="223" spans="1:12" ht="16.5" customHeight="1">
      <c r="A223" s="499"/>
      <c r="B223" s="499"/>
      <c r="C223" s="512"/>
      <c r="D223" s="514"/>
      <c r="E223" s="508"/>
      <c r="F223" s="508"/>
      <c r="G223" s="172">
        <f t="shared" si="11"/>
        <v>0</v>
      </c>
      <c r="H223" s="508"/>
      <c r="I223" s="172"/>
      <c r="J223" s="415"/>
      <c r="K223" s="416"/>
    </row>
    <row r="224" spans="1:12" s="161" customFormat="1" ht="18" customHeight="1">
      <c r="A224" s="499"/>
      <c r="B224" s="499"/>
      <c r="C224" s="505" t="s">
        <v>94</v>
      </c>
      <c r="D224" s="506"/>
      <c r="E224" s="158">
        <f>SUM(E213:E223)</f>
        <v>890000000</v>
      </c>
      <c r="F224" s="158">
        <f>SUM(F213:F223)</f>
        <v>1526574728</v>
      </c>
      <c r="G224" s="158">
        <f>SUM(G213:G223)</f>
        <v>1250000000</v>
      </c>
      <c r="H224" s="158">
        <f>SUM(H213:H223)</f>
        <v>967727768</v>
      </c>
      <c r="I224" s="158">
        <f>SUM(I213:I223)</f>
        <v>950000000</v>
      </c>
      <c r="J224" s="159"/>
      <c r="K224" s="160" t="s">
        <v>42</v>
      </c>
      <c r="L224" s="302"/>
    </row>
    <row r="225" spans="1:12" s="161" customFormat="1" ht="18" customHeight="1">
      <c r="A225" s="499"/>
      <c r="B225" s="499"/>
      <c r="C225" s="505" t="s">
        <v>379</v>
      </c>
      <c r="D225" s="506"/>
      <c r="E225" s="162"/>
      <c r="F225" s="162"/>
      <c r="G225" s="163">
        <f>E224-G224</f>
        <v>-360000000</v>
      </c>
      <c r="H225" s="162"/>
      <c r="I225" s="163">
        <f>H224-I224</f>
        <v>17727768</v>
      </c>
      <c r="J225" s="159"/>
      <c r="K225" s="160"/>
      <c r="L225" s="302"/>
    </row>
    <row r="226" spans="1:12" ht="16.5" customHeight="1">
      <c r="A226" s="499">
        <v>26</v>
      </c>
      <c r="B226" s="500" t="s">
        <v>190</v>
      </c>
      <c r="C226" s="515" t="s">
        <v>401</v>
      </c>
      <c r="D226" s="517">
        <v>42125</v>
      </c>
      <c r="E226" s="179">
        <v>99315638</v>
      </c>
      <c r="F226" s="519">
        <v>893000000</v>
      </c>
      <c r="G226" s="172">
        <f t="shared" ref="G226" si="12">IF(I226&gt;0,I226,0)</f>
        <v>200000000</v>
      </c>
      <c r="H226" s="179">
        <v>99315000</v>
      </c>
      <c r="I226" s="179">
        <v>200000000</v>
      </c>
      <c r="J226" s="189">
        <v>42144</v>
      </c>
      <c r="K226" s="190" t="s">
        <v>372</v>
      </c>
    </row>
    <row r="227" spans="1:12" ht="16.5" customHeight="1">
      <c r="A227" s="499"/>
      <c r="B227" s="500"/>
      <c r="C227" s="502"/>
      <c r="D227" s="504"/>
      <c r="E227" s="172">
        <v>525544049</v>
      </c>
      <c r="F227" s="495"/>
      <c r="G227" s="172">
        <f t="shared" ref="G227:G235" si="13">IF(I227&gt;0,I227,0)</f>
        <v>250000000</v>
      </c>
      <c r="H227" s="172">
        <v>278359000</v>
      </c>
      <c r="I227" s="172">
        <v>250000000</v>
      </c>
      <c r="J227" s="176">
        <v>42188</v>
      </c>
      <c r="K227" s="178" t="s">
        <v>372</v>
      </c>
    </row>
    <row r="228" spans="1:12" ht="16.5" customHeight="1">
      <c r="A228" s="499"/>
      <c r="B228" s="500"/>
      <c r="C228" s="502"/>
      <c r="D228" s="504"/>
      <c r="F228" s="495"/>
      <c r="G228" s="172">
        <f t="shared" si="13"/>
        <v>300000000</v>
      </c>
      <c r="H228" s="172">
        <v>247185000</v>
      </c>
      <c r="I228" s="181">
        <v>300000000</v>
      </c>
      <c r="J228" s="176">
        <v>42219</v>
      </c>
      <c r="K228" s="178" t="s">
        <v>372</v>
      </c>
    </row>
    <row r="229" spans="1:12" ht="16.5" customHeight="1">
      <c r="A229" s="499"/>
      <c r="B229" s="500"/>
      <c r="C229" s="502"/>
      <c r="D229" s="504"/>
      <c r="E229" s="172">
        <v>60382018</v>
      </c>
      <c r="F229" s="495"/>
      <c r="G229" s="172">
        <f t="shared" si="13"/>
        <v>0</v>
      </c>
      <c r="H229" s="172">
        <v>61180000</v>
      </c>
      <c r="I229" s="181">
        <v>-100000000</v>
      </c>
      <c r="J229" s="176">
        <v>42220</v>
      </c>
      <c r="K229" s="187" t="s">
        <v>390</v>
      </c>
    </row>
    <row r="230" spans="1:12" ht="16.5" customHeight="1">
      <c r="A230" s="499"/>
      <c r="B230" s="500"/>
      <c r="C230" s="502"/>
      <c r="D230" s="504"/>
      <c r="E230" s="172">
        <v>295513229</v>
      </c>
      <c r="F230" s="495"/>
      <c r="G230" s="172">
        <f t="shared" si="13"/>
        <v>150000000</v>
      </c>
      <c r="H230" s="172">
        <v>303311000</v>
      </c>
      <c r="I230" s="225">
        <v>150000000</v>
      </c>
      <c r="J230" s="229">
        <v>42251</v>
      </c>
      <c r="K230" s="242" t="s">
        <v>372</v>
      </c>
    </row>
    <row r="231" spans="1:12" ht="16.5" customHeight="1">
      <c r="A231" s="499"/>
      <c r="B231" s="500"/>
      <c r="C231" s="502"/>
      <c r="D231" s="504"/>
      <c r="E231" s="172">
        <v>81027109</v>
      </c>
      <c r="F231" s="495"/>
      <c r="G231" s="172">
        <f t="shared" si="13"/>
        <v>150000000</v>
      </c>
      <c r="H231" s="172">
        <v>82240000</v>
      </c>
      <c r="I231" s="294">
        <v>150000000</v>
      </c>
      <c r="J231" s="295">
        <v>42279</v>
      </c>
      <c r="K231" s="292" t="s">
        <v>372</v>
      </c>
    </row>
    <row r="232" spans="1:12" ht="16.5" customHeight="1">
      <c r="A232" s="499"/>
      <c r="B232" s="500"/>
      <c r="C232" s="502"/>
      <c r="D232" s="504"/>
      <c r="E232" s="172">
        <v>11344513</v>
      </c>
      <c r="F232" s="495"/>
      <c r="G232" s="379">
        <v>123128513</v>
      </c>
      <c r="H232" s="386">
        <v>19689000</v>
      </c>
      <c r="I232" s="382">
        <v>123128513</v>
      </c>
      <c r="J232" s="381">
        <v>42366</v>
      </c>
      <c r="K232" s="383" t="s">
        <v>372</v>
      </c>
    </row>
    <row r="233" spans="1:12" ht="16.5" customHeight="1">
      <c r="A233" s="499"/>
      <c r="B233" s="500"/>
      <c r="C233" s="502"/>
      <c r="D233" s="504"/>
      <c r="E233" s="197">
        <v>100001957</v>
      </c>
      <c r="F233" s="495"/>
      <c r="G233" s="424">
        <v>37981566</v>
      </c>
      <c r="H233" s="386">
        <v>8483500</v>
      </c>
      <c r="I233" s="379">
        <v>37978500</v>
      </c>
      <c r="J233" s="381">
        <v>42403</v>
      </c>
      <c r="K233" s="427" t="s">
        <v>372</v>
      </c>
    </row>
    <row r="234" spans="1:12" ht="16.5" customHeight="1">
      <c r="A234" s="499"/>
      <c r="B234" s="500"/>
      <c r="C234" s="502"/>
      <c r="D234" s="504"/>
      <c r="E234" s="172">
        <v>37981566</v>
      </c>
      <c r="F234" s="495"/>
      <c r="G234" s="172"/>
      <c r="H234" s="386">
        <v>11344513</v>
      </c>
      <c r="I234" s="379">
        <v>9028694</v>
      </c>
      <c r="J234" s="426">
        <v>42403</v>
      </c>
      <c r="K234" s="380" t="s">
        <v>1201</v>
      </c>
    </row>
    <row r="235" spans="1:12" ht="16.5" customHeight="1">
      <c r="A235" s="499"/>
      <c r="B235" s="500"/>
      <c r="C235" s="516"/>
      <c r="D235" s="518"/>
      <c r="E235" s="385"/>
      <c r="F235" s="520"/>
      <c r="G235" s="172">
        <f t="shared" si="13"/>
        <v>0</v>
      </c>
      <c r="H235" s="424">
        <v>9028694</v>
      </c>
      <c r="I235" s="182"/>
      <c r="J235" s="191"/>
      <c r="K235" s="192"/>
    </row>
    <row r="236" spans="1:12" s="161" customFormat="1" ht="18" customHeight="1">
      <c r="A236" s="499"/>
      <c r="B236" s="500"/>
      <c r="C236" s="505" t="s">
        <v>94</v>
      </c>
      <c r="D236" s="506"/>
      <c r="E236" s="158">
        <f>SUM(E226:E235)</f>
        <v>1211110079</v>
      </c>
      <c r="F236" s="158">
        <f>SUM(F226:F235)</f>
        <v>893000000</v>
      </c>
      <c r="G236" s="158">
        <f t="shared" ref="G236:I236" si="14">SUM(G226:G235)</f>
        <v>1211110079</v>
      </c>
      <c r="H236" s="158">
        <f>SUM(H226:H235)</f>
        <v>1120135707</v>
      </c>
      <c r="I236" s="158">
        <f t="shared" si="14"/>
        <v>1120135707</v>
      </c>
      <c r="J236" s="160"/>
      <c r="K236" s="160" t="s">
        <v>42</v>
      </c>
      <c r="L236" s="302"/>
    </row>
    <row r="237" spans="1:12" s="161" customFormat="1" ht="18" customHeight="1">
      <c r="A237" s="499"/>
      <c r="B237" s="500"/>
      <c r="C237" s="505" t="s">
        <v>379</v>
      </c>
      <c r="D237" s="506"/>
      <c r="E237" s="162"/>
      <c r="F237" s="162"/>
      <c r="G237" s="163">
        <f>E236-G236</f>
        <v>0</v>
      </c>
      <c r="H237" s="162"/>
      <c r="I237" s="163">
        <f>H236-I236</f>
        <v>0</v>
      </c>
      <c r="J237" s="162"/>
      <c r="K237" s="387"/>
      <c r="L237" s="302"/>
    </row>
    <row r="238" spans="1:12" ht="16.5" customHeight="1">
      <c r="A238" s="499">
        <v>27</v>
      </c>
      <c r="B238" s="500" t="s">
        <v>268</v>
      </c>
      <c r="C238" s="501" t="s">
        <v>402</v>
      </c>
      <c r="D238" s="503">
        <v>42125</v>
      </c>
      <c r="E238" s="494">
        <v>2389362910</v>
      </c>
      <c r="F238" s="494">
        <v>1489950000</v>
      </c>
      <c r="G238" s="172">
        <f>IF(I238&gt;0,I238,0)</f>
        <v>200000000</v>
      </c>
      <c r="H238" s="494">
        <f>1541396296+84796661</f>
        <v>1626192957</v>
      </c>
      <c r="I238" s="172">
        <v>200000000</v>
      </c>
      <c r="J238" s="176">
        <v>42150</v>
      </c>
      <c r="K238" s="174" t="s">
        <v>372</v>
      </c>
    </row>
    <row r="239" spans="1:12" ht="16.5" customHeight="1">
      <c r="A239" s="499"/>
      <c r="B239" s="500"/>
      <c r="C239" s="502"/>
      <c r="D239" s="502"/>
      <c r="E239" s="495"/>
      <c r="F239" s="495"/>
      <c r="G239" s="172">
        <f t="shared" ref="G239:G245" si="15">IF(I239&gt;0,I239,0)</f>
        <v>500000000</v>
      </c>
      <c r="H239" s="495"/>
      <c r="I239" s="172">
        <v>500000000</v>
      </c>
      <c r="J239" s="176">
        <v>42198</v>
      </c>
      <c r="K239" s="174" t="s">
        <v>372</v>
      </c>
    </row>
    <row r="240" spans="1:12" ht="16.5" customHeight="1">
      <c r="A240" s="499"/>
      <c r="B240" s="500"/>
      <c r="C240" s="502"/>
      <c r="D240" s="502"/>
      <c r="E240" s="495"/>
      <c r="F240" s="495"/>
      <c r="G240" s="172">
        <f t="shared" si="15"/>
        <v>0</v>
      </c>
      <c r="H240" s="495"/>
      <c r="I240" s="193">
        <v>-300000000</v>
      </c>
      <c r="J240" s="194">
        <v>42199</v>
      </c>
      <c r="K240" s="195" t="s">
        <v>390</v>
      </c>
    </row>
    <row r="241" spans="1:12" ht="16.5" customHeight="1">
      <c r="A241" s="499"/>
      <c r="B241" s="500"/>
      <c r="C241" s="502"/>
      <c r="D241" s="502"/>
      <c r="E241" s="495"/>
      <c r="F241" s="495"/>
      <c r="G241" s="172">
        <f t="shared" si="15"/>
        <v>500000000</v>
      </c>
      <c r="H241" s="495"/>
      <c r="I241" s="172">
        <v>500000000</v>
      </c>
      <c r="J241" s="233">
        <v>42241</v>
      </c>
      <c r="K241" s="232" t="s">
        <v>372</v>
      </c>
    </row>
    <row r="242" spans="1:12" ht="16.5" customHeight="1">
      <c r="A242" s="499"/>
      <c r="B242" s="500"/>
      <c r="C242" s="502"/>
      <c r="D242" s="502"/>
      <c r="E242" s="495"/>
      <c r="F242" s="495"/>
      <c r="G242" s="172">
        <f t="shared" si="15"/>
        <v>0</v>
      </c>
      <c r="H242" s="495"/>
      <c r="I242" s="193">
        <v>-300000000</v>
      </c>
      <c r="J242" s="194">
        <v>42242</v>
      </c>
      <c r="K242" s="195" t="s">
        <v>390</v>
      </c>
    </row>
    <row r="243" spans="1:12" ht="16.5" customHeight="1">
      <c r="A243" s="499"/>
      <c r="B243" s="500"/>
      <c r="C243" s="502"/>
      <c r="D243" s="502"/>
      <c r="E243" s="495"/>
      <c r="F243" s="495"/>
      <c r="G243" s="172">
        <f t="shared" si="15"/>
        <v>400000000</v>
      </c>
      <c r="H243" s="495"/>
      <c r="I243" s="172">
        <v>400000000</v>
      </c>
      <c r="J243" s="293">
        <v>42279</v>
      </c>
      <c r="K243" s="296" t="s">
        <v>372</v>
      </c>
    </row>
    <row r="244" spans="1:12" ht="16.5" customHeight="1">
      <c r="A244" s="499"/>
      <c r="B244" s="500"/>
      <c r="C244" s="502"/>
      <c r="D244" s="502"/>
      <c r="E244" s="495"/>
      <c r="F244" s="495"/>
      <c r="G244" s="172">
        <f t="shared" si="15"/>
        <v>0</v>
      </c>
      <c r="H244" s="495"/>
      <c r="I244" s="193">
        <v>-200000000</v>
      </c>
      <c r="J244" s="194">
        <v>42286</v>
      </c>
      <c r="K244" s="195" t="s">
        <v>390</v>
      </c>
    </row>
    <row r="245" spans="1:12" ht="16.5" customHeight="1">
      <c r="A245" s="499"/>
      <c r="B245" s="500"/>
      <c r="C245" s="502"/>
      <c r="D245" s="502"/>
      <c r="E245" s="495"/>
      <c r="F245" s="495"/>
      <c r="G245" s="172">
        <f t="shared" si="15"/>
        <v>0</v>
      </c>
      <c r="H245" s="495"/>
      <c r="I245" s="151"/>
      <c r="J245" s="176"/>
      <c r="K245" s="188"/>
    </row>
    <row r="246" spans="1:12" s="161" customFormat="1" ht="18" customHeight="1">
      <c r="A246" s="499"/>
      <c r="B246" s="500"/>
      <c r="C246" s="505" t="s">
        <v>94</v>
      </c>
      <c r="D246" s="506"/>
      <c r="E246" s="158">
        <f>SUM(E238:E245)</f>
        <v>2389362910</v>
      </c>
      <c r="F246" s="158">
        <f>SUM(F238:F245)</f>
        <v>1489950000</v>
      </c>
      <c r="G246" s="158">
        <f>SUM(G238:G245)</f>
        <v>1600000000</v>
      </c>
      <c r="H246" s="158">
        <f>SUM(H238:H245)</f>
        <v>1626192957</v>
      </c>
      <c r="I246" s="158">
        <f>SUM(I238:I245)</f>
        <v>800000000</v>
      </c>
      <c r="J246" s="159"/>
      <c r="K246" s="160" t="s">
        <v>42</v>
      </c>
      <c r="L246" s="302"/>
    </row>
    <row r="247" spans="1:12" s="161" customFormat="1" ht="18" customHeight="1">
      <c r="A247" s="499"/>
      <c r="B247" s="500"/>
      <c r="C247" s="505" t="s">
        <v>379</v>
      </c>
      <c r="D247" s="506"/>
      <c r="E247" s="162"/>
      <c r="F247" s="162"/>
      <c r="G247" s="163">
        <f>E246-G246</f>
        <v>789362910</v>
      </c>
      <c r="H247" s="162"/>
      <c r="I247" s="163">
        <f>H246-I246</f>
        <v>826192957</v>
      </c>
      <c r="J247" s="159"/>
      <c r="K247" s="160"/>
      <c r="L247" s="302"/>
    </row>
    <row r="248" spans="1:12" ht="16.5" customHeight="1">
      <c r="A248" s="499">
        <v>28</v>
      </c>
      <c r="B248" s="500" t="s">
        <v>406</v>
      </c>
      <c r="C248" s="501" t="s">
        <v>407</v>
      </c>
      <c r="D248" s="503">
        <v>42205</v>
      </c>
      <c r="E248" s="494">
        <v>435082000</v>
      </c>
      <c r="F248" s="494">
        <v>434232000</v>
      </c>
      <c r="G248" s="172">
        <f t="shared" ref="G248:G259" si="16">IF(I248&gt;0,I248,0)</f>
        <v>90000000</v>
      </c>
      <c r="H248" s="494">
        <v>434232000</v>
      </c>
      <c r="I248" s="151">
        <v>90000000</v>
      </c>
      <c r="J248" s="176">
        <v>42212</v>
      </c>
      <c r="K248" s="174" t="s">
        <v>372</v>
      </c>
    </row>
    <row r="249" spans="1:12" ht="16.5" customHeight="1">
      <c r="A249" s="499"/>
      <c r="B249" s="500"/>
      <c r="C249" s="502"/>
      <c r="D249" s="504"/>
      <c r="E249" s="495"/>
      <c r="F249" s="495"/>
      <c r="G249" s="172">
        <f t="shared" si="16"/>
        <v>50000000</v>
      </c>
      <c r="H249" s="495"/>
      <c r="I249" s="151">
        <v>50000000</v>
      </c>
      <c r="J249" s="214">
        <v>42229</v>
      </c>
      <c r="K249" s="215" t="s">
        <v>372</v>
      </c>
    </row>
    <row r="250" spans="1:12" ht="16.5" customHeight="1">
      <c r="A250" s="499"/>
      <c r="B250" s="500"/>
      <c r="C250" s="502"/>
      <c r="D250" s="504"/>
      <c r="E250" s="495"/>
      <c r="F250" s="495"/>
      <c r="G250" s="172">
        <f t="shared" si="16"/>
        <v>50000000</v>
      </c>
      <c r="H250" s="495"/>
      <c r="I250" s="151">
        <v>50000000</v>
      </c>
      <c r="J250" s="233">
        <v>42241</v>
      </c>
      <c r="K250" s="232" t="s">
        <v>372</v>
      </c>
    </row>
    <row r="251" spans="1:12" ht="16.5" customHeight="1">
      <c r="A251" s="499"/>
      <c r="B251" s="500"/>
      <c r="C251" s="502"/>
      <c r="D251" s="504"/>
      <c r="E251" s="495"/>
      <c r="F251" s="495"/>
      <c r="G251" s="172">
        <f t="shared" si="16"/>
        <v>50000000</v>
      </c>
      <c r="H251" s="495"/>
      <c r="I251" s="151">
        <v>50000000</v>
      </c>
      <c r="J251" s="281">
        <v>42251</v>
      </c>
      <c r="K251" s="280" t="s">
        <v>372</v>
      </c>
    </row>
    <row r="252" spans="1:12" ht="16.5" customHeight="1">
      <c r="A252" s="499"/>
      <c r="B252" s="500"/>
      <c r="C252" s="502"/>
      <c r="D252" s="504"/>
      <c r="E252" s="495"/>
      <c r="F252" s="495"/>
      <c r="G252" s="172">
        <f t="shared" si="16"/>
        <v>30000000</v>
      </c>
      <c r="H252" s="495"/>
      <c r="I252" s="151">
        <v>30000000</v>
      </c>
      <c r="J252" s="308">
        <v>42285</v>
      </c>
      <c r="K252" s="309" t="s">
        <v>372</v>
      </c>
    </row>
    <row r="253" spans="1:12" ht="16.5" customHeight="1">
      <c r="A253" s="499"/>
      <c r="B253" s="500"/>
      <c r="C253" s="502"/>
      <c r="D253" s="504"/>
      <c r="E253" s="495"/>
      <c r="F253" s="495"/>
      <c r="G253" s="172"/>
      <c r="H253" s="495"/>
      <c r="I253" s="151">
        <v>10000000</v>
      </c>
      <c r="J253" s="308">
        <v>42306</v>
      </c>
      <c r="K253" s="309" t="s">
        <v>386</v>
      </c>
    </row>
    <row r="254" spans="1:12" ht="16.5" customHeight="1">
      <c r="A254" s="499"/>
      <c r="B254" s="500"/>
      <c r="C254" s="502"/>
      <c r="D254" s="504"/>
      <c r="E254" s="495"/>
      <c r="F254" s="495"/>
      <c r="G254" s="172">
        <f t="shared" si="16"/>
        <v>30000000</v>
      </c>
      <c r="H254" s="495"/>
      <c r="I254" s="151">
        <v>30000000</v>
      </c>
      <c r="J254" s="326">
        <v>42342</v>
      </c>
      <c r="K254" s="378" t="s">
        <v>372</v>
      </c>
    </row>
    <row r="255" spans="1:12" ht="16.5" customHeight="1">
      <c r="A255" s="499"/>
      <c r="B255" s="500"/>
      <c r="C255" s="502"/>
      <c r="D255" s="504"/>
      <c r="E255" s="495"/>
      <c r="F255" s="495"/>
      <c r="G255" s="172">
        <f t="shared" si="16"/>
        <v>60000000</v>
      </c>
      <c r="H255" s="495"/>
      <c r="I255" s="151">
        <v>60000000</v>
      </c>
      <c r="J255" s="326">
        <v>42403</v>
      </c>
      <c r="K255" s="430" t="s">
        <v>372</v>
      </c>
    </row>
    <row r="256" spans="1:12" ht="16.5" customHeight="1">
      <c r="A256" s="499"/>
      <c r="B256" s="500"/>
      <c r="C256" s="502"/>
      <c r="D256" s="504"/>
      <c r="E256" s="495"/>
      <c r="F256" s="495"/>
      <c r="G256" s="172"/>
      <c r="H256" s="495"/>
      <c r="I256" s="151">
        <v>15000000</v>
      </c>
      <c r="J256" s="454">
        <v>42565</v>
      </c>
      <c r="K256" s="455" t="s">
        <v>386</v>
      </c>
    </row>
    <row r="257" spans="1:13" ht="16.5" customHeight="1">
      <c r="A257" s="499"/>
      <c r="B257" s="500"/>
      <c r="C257" s="502"/>
      <c r="D257" s="504"/>
      <c r="E257" s="495"/>
      <c r="F257" s="495"/>
      <c r="G257" s="172">
        <v>25850000</v>
      </c>
      <c r="H257" s="495"/>
      <c r="I257" s="151">
        <v>25850000</v>
      </c>
      <c r="J257" s="457">
        <v>42653</v>
      </c>
      <c r="K257" s="458" t="s">
        <v>372</v>
      </c>
    </row>
    <row r="258" spans="1:13" ht="16.5" customHeight="1">
      <c r="A258" s="499"/>
      <c r="B258" s="500"/>
      <c r="C258" s="502"/>
      <c r="D258" s="504"/>
      <c r="E258" s="495"/>
      <c r="F258" s="495"/>
      <c r="G258" s="172"/>
      <c r="H258" s="495"/>
      <c r="I258" s="193">
        <v>-25850000</v>
      </c>
      <c r="J258" s="194"/>
      <c r="K258" s="195" t="s">
        <v>390</v>
      </c>
    </row>
    <row r="259" spans="1:13" ht="16.5" customHeight="1">
      <c r="A259" s="499"/>
      <c r="B259" s="500"/>
      <c r="C259" s="502"/>
      <c r="D259" s="502"/>
      <c r="E259" s="495"/>
      <c r="F259" s="495"/>
      <c r="G259" s="172">
        <f t="shared" si="16"/>
        <v>0</v>
      </c>
      <c r="H259" s="495"/>
      <c r="I259" s="151"/>
      <c r="J259" s="176"/>
      <c r="K259" s="298"/>
    </row>
    <row r="260" spans="1:13" s="161" customFormat="1" ht="18" customHeight="1">
      <c r="A260" s="499"/>
      <c r="B260" s="500"/>
      <c r="C260" s="505" t="s">
        <v>94</v>
      </c>
      <c r="D260" s="506"/>
      <c r="E260" s="158">
        <f>SUM(E248:E259)</f>
        <v>435082000</v>
      </c>
      <c r="F260" s="158">
        <f>SUM(F248:F259)</f>
        <v>434232000</v>
      </c>
      <c r="G260" s="158">
        <f>SUM(G248:G259)</f>
        <v>385850000</v>
      </c>
      <c r="H260" s="158">
        <f>SUM(H248:H259)</f>
        <v>434232000</v>
      </c>
      <c r="I260" s="158">
        <f>SUM(I248:I259)</f>
        <v>385000000</v>
      </c>
      <c r="J260" s="159"/>
      <c r="K260" s="160" t="s">
        <v>42</v>
      </c>
      <c r="L260" s="302"/>
    </row>
    <row r="261" spans="1:13" s="161" customFormat="1" ht="18" customHeight="1">
      <c r="A261" s="499"/>
      <c r="B261" s="500"/>
      <c r="C261" s="505" t="s">
        <v>379</v>
      </c>
      <c r="D261" s="506"/>
      <c r="E261" s="162"/>
      <c r="F261" s="162"/>
      <c r="G261" s="163">
        <f>E260-G260</f>
        <v>49232000</v>
      </c>
      <c r="H261" s="162"/>
      <c r="I261" s="163">
        <f>H260-I260</f>
        <v>49232000</v>
      </c>
      <c r="J261" s="159"/>
      <c r="K261" s="160"/>
      <c r="L261" s="302"/>
    </row>
    <row r="262" spans="1:13" ht="27" customHeight="1">
      <c r="A262" s="499">
        <v>29</v>
      </c>
      <c r="B262" s="500" t="s">
        <v>427</v>
      </c>
      <c r="C262" s="207" t="str">
        <f ca="1">"Chi phí TM (có HĐ) đến "&amp; TEXT(NOW(),"dd/MM/yy")</f>
        <v>Chi phí TM (có HĐ) đến 03/10/17</v>
      </c>
      <c r="D262" s="189"/>
      <c r="E262" s="212">
        <f t="array" ref="E262">SUM(IF(KHN&amp;KHC="642"&amp;"1111",TH))</f>
        <v>298348255</v>
      </c>
      <c r="F262" s="223">
        <f t="array" ref="F262">SUM(IF(KHN&amp;KHC="642"&amp;"1111",TH))</f>
        <v>298348255</v>
      </c>
      <c r="G262" s="212">
        <f>F262</f>
        <v>298348255</v>
      </c>
      <c r="H262" s="226">
        <f t="shared" ref="H262:I262" si="17">G262</f>
        <v>298348255</v>
      </c>
      <c r="I262" s="226">
        <f t="shared" si="17"/>
        <v>298348255</v>
      </c>
      <c r="J262" s="205" t="str">
        <f>IF(D262&lt;&gt;"",D262,"")</f>
        <v/>
      </c>
      <c r="K262" s="211" t="s">
        <v>386</v>
      </c>
    </row>
    <row r="263" spans="1:13" ht="16.5" customHeight="1">
      <c r="A263" s="499"/>
      <c r="B263" s="500"/>
      <c r="C263" s="211" t="str">
        <f ca="1">"CP lãi vay ( 09/2014 - "&amp;MONTH(NOW())&amp;"/"&amp;YEAR(NOW())&amp;" )"</f>
        <v>CP lãi vay ( 09/2014 - 10/2017 )</v>
      </c>
      <c r="D263" s="173"/>
      <c r="E263" s="212">
        <f t="array" ref="E263">SUM(IF(KHN&amp;KHC="635"&amp;"1121",TH))</f>
        <v>2696836981</v>
      </c>
      <c r="F263" s="223">
        <f t="array" ref="F263">SUM(IF(KHN&amp;KHC="635"&amp;"1121",TH))</f>
        <v>2696836981</v>
      </c>
      <c r="G263" s="226">
        <f t="shared" ref="G263:I266" si="18">F263</f>
        <v>2696836981</v>
      </c>
      <c r="H263" s="226">
        <f t="shared" si="18"/>
        <v>2696836981</v>
      </c>
      <c r="I263" s="226">
        <f t="shared" si="18"/>
        <v>2696836981</v>
      </c>
      <c r="J263" s="205" t="str">
        <f t="shared" ref="J263" si="19">IF(D263&lt;&gt;"",D263,"")</f>
        <v/>
      </c>
      <c r="K263" s="211" t="s">
        <v>386</v>
      </c>
    </row>
    <row r="264" spans="1:13" ht="16.5" customHeight="1">
      <c r="A264" s="499"/>
      <c r="B264" s="500"/>
      <c r="C264" s="211" t="s">
        <v>426</v>
      </c>
      <c r="D264" s="173">
        <v>42130</v>
      </c>
      <c r="E264" s="226"/>
      <c r="F264" s="223">
        <v>23000000</v>
      </c>
      <c r="G264" s="226">
        <f t="shared" si="18"/>
        <v>23000000</v>
      </c>
      <c r="H264" s="226">
        <f t="shared" si="18"/>
        <v>23000000</v>
      </c>
      <c r="I264" s="226">
        <f t="shared" si="18"/>
        <v>23000000</v>
      </c>
      <c r="J264" s="205">
        <f t="shared" ref="J264:J266" si="20">IF(D264&lt;&gt;"",D264,"")</f>
        <v>42130</v>
      </c>
      <c r="K264" s="211" t="s">
        <v>386</v>
      </c>
    </row>
    <row r="265" spans="1:13" ht="16.5" customHeight="1">
      <c r="A265" s="499"/>
      <c r="B265" s="500"/>
      <c r="C265" s="204" t="s">
        <v>428</v>
      </c>
      <c r="D265" s="205">
        <v>42224</v>
      </c>
      <c r="E265" s="206"/>
      <c r="F265" s="220">
        <v>3740000</v>
      </c>
      <c r="G265" s="226">
        <f t="shared" si="18"/>
        <v>3740000</v>
      </c>
      <c r="H265" s="226">
        <f t="shared" si="18"/>
        <v>3740000</v>
      </c>
      <c r="I265" s="226">
        <f t="shared" si="18"/>
        <v>3740000</v>
      </c>
      <c r="J265" s="205">
        <f t="shared" si="20"/>
        <v>42224</v>
      </c>
      <c r="K265" s="211" t="s">
        <v>386</v>
      </c>
    </row>
    <row r="266" spans="1:13" ht="16.5" customHeight="1">
      <c r="A266" s="499"/>
      <c r="B266" s="500"/>
      <c r="C266" s="204"/>
      <c r="D266" s="205"/>
      <c r="E266" s="206"/>
      <c r="F266" s="220"/>
      <c r="G266" s="226">
        <f t="shared" si="18"/>
        <v>0</v>
      </c>
      <c r="H266" s="226">
        <f t="shared" si="18"/>
        <v>0</v>
      </c>
      <c r="I266" s="226">
        <f t="shared" si="18"/>
        <v>0</v>
      </c>
      <c r="J266" s="205" t="str">
        <f t="shared" si="20"/>
        <v/>
      </c>
      <c r="K266" s="211"/>
    </row>
    <row r="267" spans="1:13" s="161" customFormat="1" ht="18" customHeight="1">
      <c r="A267" s="499"/>
      <c r="B267" s="500"/>
      <c r="C267" s="505" t="s">
        <v>94</v>
      </c>
      <c r="D267" s="506"/>
      <c r="E267" s="158">
        <f>SUM(E262:E266)</f>
        <v>2995185236</v>
      </c>
      <c r="F267" s="158">
        <f>SUM(F262:F266)</f>
        <v>3021925236</v>
      </c>
      <c r="G267" s="158">
        <f>SUM(G262:G266)</f>
        <v>3021925236</v>
      </c>
      <c r="H267" s="158">
        <f>SUM(H262:H266)</f>
        <v>3021925236</v>
      </c>
      <c r="I267" s="158">
        <f>SUM(I262:I266)</f>
        <v>3021925236</v>
      </c>
      <c r="J267" s="159"/>
      <c r="K267" s="160" t="s">
        <v>42</v>
      </c>
      <c r="L267" s="302"/>
    </row>
    <row r="268" spans="1:13" s="161" customFormat="1" ht="18" customHeight="1">
      <c r="A268" s="499"/>
      <c r="B268" s="500"/>
      <c r="C268" s="505" t="s">
        <v>379</v>
      </c>
      <c r="D268" s="506"/>
      <c r="E268" s="162"/>
      <c r="F268" s="162"/>
      <c r="G268" s="163"/>
      <c r="H268" s="162"/>
      <c r="I268" s="163">
        <f>H267-I267</f>
        <v>0</v>
      </c>
      <c r="J268" s="159"/>
      <c r="K268" s="160"/>
      <c r="L268" s="302"/>
    </row>
    <row r="269" spans="1:13" ht="28.5" customHeight="1">
      <c r="A269" s="496" t="s">
        <v>408</v>
      </c>
      <c r="B269" s="497"/>
      <c r="C269" s="497"/>
      <c r="D269" s="498"/>
      <c r="E269" s="146">
        <f>SUMIF(DSTT,"x",$E$7:$E$268)</f>
        <v>33186340905</v>
      </c>
      <c r="F269" s="146">
        <f>SUMIF(DSTT,"x",$F$7:$F$268)</f>
        <v>35851614044</v>
      </c>
      <c r="G269" s="146">
        <f>SUMIF(DSTT,"x",$G$7:$G$268)</f>
        <v>32349254325</v>
      </c>
      <c r="H269" s="146">
        <f>SUMIF(DSTT,"x",$H$7:$H$268)</f>
        <v>31437106578</v>
      </c>
      <c r="I269" s="146">
        <f>SUMIF(DSTT,"x",$I$7:$I$268)</f>
        <v>27229015953</v>
      </c>
      <c r="J269" s="196"/>
      <c r="K269" s="196"/>
      <c r="M269" s="197"/>
    </row>
    <row r="270" spans="1:13" ht="17.25" customHeight="1"/>
    <row r="271" spans="1:13" ht="17.25" customHeight="1"/>
    <row r="272" spans="1:13" ht="17.25" customHeight="1"/>
    <row r="273" spans="10:13" ht="17.25" customHeight="1">
      <c r="J273" s="198" t="s">
        <v>386</v>
      </c>
      <c r="K273" s="199">
        <f>SUMIF(DSTT,J273,DSTT1)</f>
        <v>3671406236</v>
      </c>
    </row>
    <row r="274" spans="10:13" ht="17.25" customHeight="1">
      <c r="J274" s="198" t="s">
        <v>372</v>
      </c>
      <c r="K274" s="199">
        <f>SUMIF(DSTT,J274,DSTT1)</f>
        <v>29382446023</v>
      </c>
      <c r="L274" s="197">
        <f>'331'!E41</f>
        <v>30233680164</v>
      </c>
      <c r="M274" s="200">
        <f>K274-L274+L275</f>
        <v>-850906541</v>
      </c>
    </row>
    <row r="275" spans="10:13" ht="17.25" customHeight="1">
      <c r="J275" s="201" t="s">
        <v>390</v>
      </c>
      <c r="K275" s="199">
        <f>SUMIF(DSTT,J275,DSTT1)</f>
        <v>-4820245000</v>
      </c>
      <c r="L275" s="197">
        <f>327600</f>
        <v>327600</v>
      </c>
    </row>
    <row r="276" spans="10:13" ht="17.25" customHeight="1"/>
    <row r="277" spans="10:13" ht="17.25" customHeight="1">
      <c r="K277" s="202"/>
    </row>
  </sheetData>
  <autoFilter ref="A4:M247"/>
  <mergeCells count="253">
    <mergeCell ref="F45:F51"/>
    <mergeCell ref="F54:F55"/>
    <mergeCell ref="F62:F63"/>
    <mergeCell ref="E54:E55"/>
    <mergeCell ref="H145:H152"/>
    <mergeCell ref="H36:H42"/>
    <mergeCell ref="H62:H63"/>
    <mergeCell ref="H45:H51"/>
    <mergeCell ref="E173:E196"/>
    <mergeCell ref="H173:H196"/>
    <mergeCell ref="F173:F196"/>
    <mergeCell ref="F81:F83"/>
    <mergeCell ref="F94:F98"/>
    <mergeCell ref="E166:E170"/>
    <mergeCell ref="H81:H83"/>
    <mergeCell ref="H70:H72"/>
    <mergeCell ref="E105:E117"/>
    <mergeCell ref="F70:F72"/>
    <mergeCell ref="F36:F42"/>
    <mergeCell ref="E75:E78"/>
    <mergeCell ref="F66:F67"/>
    <mergeCell ref="E62:E63"/>
    <mergeCell ref="H166:H170"/>
    <mergeCell ref="H66:H67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A199:A205"/>
    <mergeCell ref="B199:B205"/>
    <mergeCell ref="C199:C203"/>
    <mergeCell ref="D199:D203"/>
    <mergeCell ref="C165:D165"/>
    <mergeCell ref="E118:E137"/>
    <mergeCell ref="C70:C72"/>
    <mergeCell ref="D70:D72"/>
    <mergeCell ref="E70:E72"/>
    <mergeCell ref="A75:A80"/>
    <mergeCell ref="B75:B80"/>
    <mergeCell ref="C80:D80"/>
    <mergeCell ref="C166:C170"/>
    <mergeCell ref="C100:D100"/>
    <mergeCell ref="D166:D170"/>
    <mergeCell ref="D105:D117"/>
    <mergeCell ref="C118:C137"/>
    <mergeCell ref="D118:D137"/>
    <mergeCell ref="A140:A154"/>
    <mergeCell ref="B140:B154"/>
    <mergeCell ref="C140:C144"/>
    <mergeCell ref="D140:D144"/>
    <mergeCell ref="A155:A165"/>
    <mergeCell ref="B155:B165"/>
    <mergeCell ref="A166:A172"/>
    <mergeCell ref="B166:B172"/>
    <mergeCell ref="C145:C152"/>
    <mergeCell ref="D145:D152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4"/>
    <mergeCell ref="B66:B74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05:A139"/>
    <mergeCell ref="B105:B139"/>
    <mergeCell ref="C75:C78"/>
    <mergeCell ref="D75:D78"/>
    <mergeCell ref="F105:F117"/>
    <mergeCell ref="F118:F137"/>
    <mergeCell ref="F75:F78"/>
    <mergeCell ref="C92:D92"/>
    <mergeCell ref="C93:D93"/>
    <mergeCell ref="A94:A100"/>
    <mergeCell ref="B94:B100"/>
    <mergeCell ref="C94:C98"/>
    <mergeCell ref="D94:D98"/>
    <mergeCell ref="A101:A104"/>
    <mergeCell ref="E81:E83"/>
    <mergeCell ref="C84:D84"/>
    <mergeCell ref="C85:D85"/>
    <mergeCell ref="E94:E98"/>
    <mergeCell ref="C86:C91"/>
    <mergeCell ref="D86:D91"/>
    <mergeCell ref="E86:E91"/>
    <mergeCell ref="F86:F91"/>
    <mergeCell ref="E199:E203"/>
    <mergeCell ref="H199:H203"/>
    <mergeCell ref="C204:D204"/>
    <mergeCell ref="C205:D205"/>
    <mergeCell ref="F199:F203"/>
    <mergeCell ref="B206:B212"/>
    <mergeCell ref="C206:C210"/>
    <mergeCell ref="D206:D210"/>
    <mergeCell ref="E206:E210"/>
    <mergeCell ref="H206:H210"/>
    <mergeCell ref="C211:D211"/>
    <mergeCell ref="C212:D212"/>
    <mergeCell ref="F206:F210"/>
    <mergeCell ref="F213:F217"/>
    <mergeCell ref="E213:E217"/>
    <mergeCell ref="H213:H217"/>
    <mergeCell ref="A81:A93"/>
    <mergeCell ref="B81:B93"/>
    <mergeCell ref="C81:C83"/>
    <mergeCell ref="D81:D83"/>
    <mergeCell ref="A213:A225"/>
    <mergeCell ref="B213:B225"/>
    <mergeCell ref="C213:C217"/>
    <mergeCell ref="D213:D217"/>
    <mergeCell ref="C138:D138"/>
    <mergeCell ref="C139:D139"/>
    <mergeCell ref="A173:A198"/>
    <mergeCell ref="B173:B198"/>
    <mergeCell ref="C173:C196"/>
    <mergeCell ref="D173:D196"/>
    <mergeCell ref="C197:D197"/>
    <mergeCell ref="C198:D198"/>
    <mergeCell ref="A206:A212"/>
    <mergeCell ref="C172:D172"/>
    <mergeCell ref="C153:D153"/>
    <mergeCell ref="C154:D154"/>
    <mergeCell ref="C164:D164"/>
    <mergeCell ref="H238:H245"/>
    <mergeCell ref="C246:D246"/>
    <mergeCell ref="C247:D247"/>
    <mergeCell ref="F238:F245"/>
    <mergeCell ref="H218:H223"/>
    <mergeCell ref="A226:A237"/>
    <mergeCell ref="B226:B237"/>
    <mergeCell ref="C226:C235"/>
    <mergeCell ref="D226:D235"/>
    <mergeCell ref="C236:D236"/>
    <mergeCell ref="C237:D237"/>
    <mergeCell ref="F218:F223"/>
    <mergeCell ref="C218:C223"/>
    <mergeCell ref="F226:F235"/>
    <mergeCell ref="C224:D224"/>
    <mergeCell ref="C225:D225"/>
    <mergeCell ref="E218:E223"/>
    <mergeCell ref="D218:D223"/>
    <mergeCell ref="C171:D171"/>
    <mergeCell ref="F166:F170"/>
    <mergeCell ref="E140:E144"/>
    <mergeCell ref="H140:H144"/>
    <mergeCell ref="F155:F163"/>
    <mergeCell ref="H155:H163"/>
    <mergeCell ref="E155:E163"/>
    <mergeCell ref="E145:E152"/>
    <mergeCell ref="F140:F144"/>
    <mergeCell ref="F145:F152"/>
    <mergeCell ref="C155:C163"/>
    <mergeCell ref="D155:D163"/>
    <mergeCell ref="H75:H78"/>
    <mergeCell ref="C79:D79"/>
    <mergeCell ref="H105:H117"/>
    <mergeCell ref="H118:H137"/>
    <mergeCell ref="C74:D74"/>
    <mergeCell ref="C105:C117"/>
    <mergeCell ref="H94:H98"/>
    <mergeCell ref="C99:D99"/>
    <mergeCell ref="C73:D73"/>
    <mergeCell ref="H86:H91"/>
    <mergeCell ref="H248:H259"/>
    <mergeCell ref="C260:D260"/>
    <mergeCell ref="C261:D261"/>
    <mergeCell ref="A262:A268"/>
    <mergeCell ref="B262:B268"/>
    <mergeCell ref="C267:D267"/>
    <mergeCell ref="C268:D268"/>
    <mergeCell ref="H54:H55"/>
    <mergeCell ref="C57:D57"/>
    <mergeCell ref="C58:D58"/>
    <mergeCell ref="A59:A61"/>
    <mergeCell ref="B59:B61"/>
    <mergeCell ref="C60:D60"/>
    <mergeCell ref="C61:D61"/>
    <mergeCell ref="B101:B104"/>
    <mergeCell ref="C101:C102"/>
    <mergeCell ref="D101:D102"/>
    <mergeCell ref="E101:E102"/>
    <mergeCell ref="F101:F102"/>
    <mergeCell ref="H101:H102"/>
    <mergeCell ref="C103:D103"/>
    <mergeCell ref="C104:D104"/>
    <mergeCell ref="A54:A58"/>
    <mergeCell ref="B54:B58"/>
    <mergeCell ref="F248:F259"/>
    <mergeCell ref="A269:D269"/>
    <mergeCell ref="A248:A261"/>
    <mergeCell ref="B248:B261"/>
    <mergeCell ref="C248:C259"/>
    <mergeCell ref="D248:D259"/>
    <mergeCell ref="E248:E259"/>
    <mergeCell ref="A238:A247"/>
    <mergeCell ref="B238:B247"/>
    <mergeCell ref="C238:C245"/>
    <mergeCell ref="D238:D245"/>
    <mergeCell ref="E238:E245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13" workbookViewId="0">
      <selection activeCell="H28" sqref="H28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57" t="s">
        <v>424</v>
      </c>
      <c r="B1" s="557"/>
      <c r="C1" s="557"/>
      <c r="D1" s="557"/>
      <c r="E1" s="557"/>
    </row>
    <row r="2" spans="1:10" s="13" customFormat="1" ht="17.25" customHeight="1">
      <c r="A2" s="558" t="s">
        <v>79</v>
      </c>
      <c r="B2" s="560" t="s">
        <v>80</v>
      </c>
      <c r="C2" s="554" t="s">
        <v>81</v>
      </c>
      <c r="D2" s="555"/>
      <c r="E2" s="554" t="s">
        <v>82</v>
      </c>
      <c r="F2" s="555"/>
      <c r="G2" s="554" t="s">
        <v>102</v>
      </c>
      <c r="H2" s="555"/>
      <c r="I2" s="556"/>
    </row>
    <row r="3" spans="1:10" s="13" customFormat="1" ht="17.25" customHeight="1">
      <c r="A3" s="559"/>
      <c r="B3" s="561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56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264168666</v>
      </c>
      <c r="F4" s="8">
        <f t="array" ref="F4">SUM(IF("331"&amp;B4=KHC&amp;KH,TH))</f>
        <v>264168666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288900000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199600000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64034850</v>
      </c>
      <c r="F15" s="8">
        <f t="array" ref="F15">SUM(IF("331"&amp;B15=KHC&amp;KH,TH))</f>
        <v>64034850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9550000000</v>
      </c>
      <c r="F16" s="8">
        <f t="array" ref="F16">SUM(IF("331"&amp;B16=KHC&amp;KH,TH))</f>
        <v>8500000000</v>
      </c>
      <c r="G16" s="213">
        <f t="shared" si="3"/>
        <v>1050000000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1025975540</v>
      </c>
      <c r="F18" s="8">
        <f t="array" ref="F18">SUM(IF("331"&amp;B18=KHC&amp;KH,TH))</f>
        <v>1025975540</v>
      </c>
      <c r="G18" s="213">
        <f>ROUND(MAX(C18+E18-D18-F18,0),2)</f>
        <v>0</v>
      </c>
      <c r="H18" s="213">
        <f>ROUND(MAX(D18+F18-C18-E18,0),2)</f>
        <v>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3866580879</v>
      </c>
      <c r="G24" s="213">
        <f t="shared" si="3"/>
        <v>0</v>
      </c>
      <c r="H24" s="213">
        <f t="shared" si="4"/>
        <v>666580879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2389362910</v>
      </c>
      <c r="G28" s="213">
        <f t="shared" si="3"/>
        <v>0</v>
      </c>
      <c r="H28" s="213">
        <f t="shared" si="4"/>
        <v>789362910</v>
      </c>
      <c r="I28" s="21">
        <v>2389362910</v>
      </c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2160000000</v>
      </c>
      <c r="F30" s="8">
        <f t="array" ref="F30">SUM(IF("331"&amp;B30=KHC&amp;KH,TH))</f>
        <v>2255000000</v>
      </c>
      <c r="G30" s="213">
        <f t="shared" si="3"/>
        <v>0</v>
      </c>
      <c r="H30" s="213">
        <f t="shared" si="4"/>
        <v>95000000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435082000</v>
      </c>
      <c r="G31" s="213">
        <f t="shared" ref="G31" si="9">ROUND(MAX(C31+E31-D31-F31,0),2)</f>
        <v>0</v>
      </c>
      <c r="H31" s="213">
        <f t="shared" ref="H31" si="10">ROUND(MAX(D31+F31-C31-E31,0),2)</f>
        <v>75082000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697133429</v>
      </c>
      <c r="F34" s="8">
        <f t="array" ref="F34">SUM(IF("331"&amp;B34=KHC&amp;KH,TH))</f>
        <v>697133429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21739872</v>
      </c>
      <c r="F35" s="8">
        <f t="array" ref="F35">SUM(IF("331"&amp;B35=KHC&amp;KH,TH))</f>
        <v>34653696</v>
      </c>
      <c r="G35" s="213">
        <f t="shared" ref="G35:G36" si="17">ROUND(MAX(C35+E35-D35-F35,0),2)</f>
        <v>0</v>
      </c>
      <c r="H35" s="213">
        <f t="shared" ref="H35:H36" si="18">ROUND(MAX(D35+F35-C35-E35,0),2)</f>
        <v>12913824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 t="s">
        <v>1260</v>
      </c>
      <c r="C38" s="10"/>
      <c r="D38" s="10"/>
      <c r="E38" s="8">
        <f t="array" ref="E38">SUM(IF("331"&amp;B38=KHN&amp;KH,TH))</f>
        <v>40920000</v>
      </c>
      <c r="F38" s="8">
        <f t="array" ref="F38">SUM(IF("331"&amp;B38=KHC&amp;KH,TH))</f>
        <v>40920000</v>
      </c>
      <c r="G38" s="213">
        <f t="shared" si="19"/>
        <v>0</v>
      </c>
      <c r="H38" s="213">
        <f t="shared" si="20"/>
        <v>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30233680164</v>
      </c>
      <c r="F41" s="18">
        <f t="shared" si="21"/>
        <v>31929459547</v>
      </c>
      <c r="G41" s="18">
        <f t="shared" si="21"/>
        <v>1470000000</v>
      </c>
      <c r="H41" s="18">
        <f t="shared" si="21"/>
        <v>3165779383</v>
      </c>
      <c r="I41" s="23"/>
      <c r="J41" s="23"/>
    </row>
    <row r="43" spans="1:10" ht="17.25" customHeight="1">
      <c r="E43" s="20">
        <f>CDPS!E24</f>
        <v>30300880164</v>
      </c>
      <c r="F43" s="20">
        <f>CDPS!F24</f>
        <v>31979159547</v>
      </c>
    </row>
    <row r="45" spans="1:10" ht="17.25" customHeight="1">
      <c r="E45" s="143">
        <f>E41-E43</f>
        <v>-67200000</v>
      </c>
      <c r="F45" s="143">
        <f>F41-F43</f>
        <v>-49700000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14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64" t="s">
        <v>186</v>
      </c>
      <c r="I1" s="564"/>
      <c r="J1" s="564"/>
    </row>
    <row r="2" spans="1:10" s="3" customFormat="1" ht="14.25" customHeight="1">
      <c r="A2" s="1" t="s">
        <v>30</v>
      </c>
      <c r="B2" s="24"/>
      <c r="C2" s="24"/>
      <c r="G2" s="25"/>
      <c r="H2" s="565" t="s">
        <v>187</v>
      </c>
      <c r="I2" s="565"/>
      <c r="J2" s="565"/>
    </row>
    <row r="3" spans="1:10" s="3" customFormat="1" ht="14.25" customHeight="1">
      <c r="A3" s="4"/>
      <c r="B3" s="24"/>
      <c r="C3" s="24"/>
      <c r="G3" s="25"/>
      <c r="H3" s="565"/>
      <c r="I3" s="565"/>
      <c r="J3" s="565"/>
    </row>
    <row r="4" spans="1:10" s="5" customFormat="1" ht="28.5" customHeight="1">
      <c r="A4" s="571" t="s">
        <v>64</v>
      </c>
      <c r="B4" s="571"/>
      <c r="C4" s="571"/>
      <c r="D4" s="571"/>
      <c r="E4" s="571"/>
      <c r="F4" s="571"/>
      <c r="G4" s="571"/>
      <c r="H4" s="571"/>
      <c r="I4" s="571"/>
      <c r="J4" s="571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66" t="s">
        <v>268</v>
      </c>
      <c r="F7" s="566"/>
      <c r="G7" s="566"/>
      <c r="H7" s="566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67"/>
      <c r="D9" s="567"/>
      <c r="E9" s="567"/>
      <c r="F9" s="567"/>
      <c r="G9" s="567"/>
      <c r="H9" s="567"/>
      <c r="I9" s="567"/>
      <c r="J9" s="567"/>
    </row>
    <row r="10" spans="1:10" s="26" customFormat="1" ht="14.25" customHeight="1">
      <c r="A10" s="563" t="s">
        <v>50</v>
      </c>
      <c r="B10" s="568" t="s">
        <v>10</v>
      </c>
      <c r="C10" s="568"/>
      <c r="D10" s="563" t="s">
        <v>0</v>
      </c>
      <c r="E10" s="563" t="s">
        <v>31</v>
      </c>
      <c r="F10" s="563" t="s">
        <v>68</v>
      </c>
      <c r="G10" s="569" t="s">
        <v>51</v>
      </c>
      <c r="H10" s="570"/>
      <c r="I10" s="569" t="s">
        <v>69</v>
      </c>
      <c r="J10" s="570"/>
    </row>
    <row r="11" spans="1:10" s="26" customFormat="1" ht="24.75" customHeight="1">
      <c r="A11" s="563"/>
      <c r="B11" s="38" t="s">
        <v>32</v>
      </c>
      <c r="C11" s="38" t="s">
        <v>70</v>
      </c>
      <c r="D11" s="563"/>
      <c r="E11" s="563"/>
      <c r="F11" s="563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42150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42150</v>
      </c>
      <c r="D14" s="126" t="str">
        <f ca="1">IF(ROWS($1:1)&gt;COUNT(Dong),"",OFFSET(TH!F$1,SMALL(Dong,ROWS($1:1)),))</f>
        <v>Thanh toán tiền xây dựng - Phi Hải</v>
      </c>
      <c r="E14" s="127" t="str">
        <f ca="1">IF(ROWS($1:1)&gt;COUNT(Dong),"",IF(OFFSET(TH!N$1,SMALL(Dong,ROWS($1:1)),)="331",OFFSET(TH!O$1,SMALL(Dong,ROWS($1:1)),),OFFSET(TH!N$1,SMALL(Dong,ROWS($1:1)),)))</f>
        <v>1121</v>
      </c>
      <c r="F14" s="127"/>
      <c r="G14" s="251">
        <f ca="1">IF(ROWS($1:1)&gt;COUNT(Dong),"",IF(OFFSET(TH!N$1,SMALL(Dong,ROWS($1:1)),)="331",OFFSET(TH!M$1,SMALL(Dong,ROWS($1:1)),),0))</f>
        <v>200000000</v>
      </c>
      <c r="H14" s="251">
        <f ca="1">IF(ROWS($1:1)&gt;COUNT(Dong),"",IF(OFFSET(TH!O$1,SMALL(Dong,ROWS($1:1)),)="331",OFFSET(TH!M$1,SMALL(Dong,ROWS($1:1)),),0))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42198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42198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IF(ROWS($1:2)&gt;COUNT(Dong),"",IF(OFFSET(TH!N$1,SMALL(Dong,ROWS($1:2)),)="331",OFFSET(TH!O$1,SMALL(Dong,ROWS($1:2)),),OFFSET(TH!N$1,SMALL(Dong,ROWS($1:2)),)))</f>
        <v>1121</v>
      </c>
      <c r="F15" s="127"/>
      <c r="G15" s="251">
        <f ca="1">IF(ROWS($1:2)&gt;COUNT(Dong),"",IF(OFFSET(TH!N$1,SMALL(Dong,ROWS($1:2)),)="331",OFFSET(TH!M$1,SMALL(Dong,ROWS($1:2)),),0))</f>
        <v>500000000</v>
      </c>
      <c r="H15" s="251">
        <f ca="1">IF(ROWS($1:2)&gt;COUNT(Dong),"",IF(OFFSET(TH!O$1,SMALL(Dong,ROWS($1:2)),)="331",OFFSET(TH!M$1,SMALL(Dong,ROWS($1:2)),),0))</f>
        <v>0</v>
      </c>
      <c r="I15" s="33">
        <f t="shared" ca="1" si="1"/>
        <v>700000000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42241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42241</v>
      </c>
      <c r="D16" s="126" t="str">
        <f ca="1">IF(ROWS($1:3)&gt;COUNT(Dong),"",OFFSET(TH!F$1,SMALL(Dong,ROWS($1:3)),))</f>
        <v>Thanh toán tiền công trình</v>
      </c>
      <c r="E16" s="127" t="str">
        <f ca="1">IF(ROWS($1:3)&gt;COUNT(Dong),"",IF(OFFSET(TH!N$1,SMALL(Dong,ROWS($1:3)),)="331",OFFSET(TH!O$1,SMALL(Dong,ROWS($1:3)),),OFFSET(TH!N$1,SMALL(Dong,ROWS($1:3)),)))</f>
        <v>1121</v>
      </c>
      <c r="F16" s="127"/>
      <c r="G16" s="251">
        <f ca="1">IF(ROWS($1:3)&gt;COUNT(Dong),"",IF(OFFSET(TH!N$1,SMALL(Dong,ROWS($1:3)),)="331",OFFSET(TH!M$1,SMALL(Dong,ROWS($1:3)),),0))</f>
        <v>500000000</v>
      </c>
      <c r="H16" s="251">
        <f ca="1">IF(ROWS($1:3)&gt;COUNT(Dong),"",IF(OFFSET(TH!O$1,SMALL(Dong,ROWS($1:3)),)="331",OFFSET(TH!M$1,SMALL(Dong,ROWS($1:3)),),0))</f>
        <v>0</v>
      </c>
      <c r="I16" s="33">
        <f t="shared" ca="1" si="1"/>
        <v>1200000000</v>
      </c>
      <c r="J16" s="33">
        <f t="shared" ca="1" si="2"/>
        <v>0</v>
      </c>
    </row>
    <row r="17" spans="1:10" s="26" customFormat="1" ht="18" customHeight="1">
      <c r="A17" s="11">
        <f t="shared" ca="1" si="0"/>
        <v>42279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42279</v>
      </c>
      <c r="D17" s="126" t="str">
        <f ca="1">IF(ROWS($1:4)&gt;COUNT(Dong),"",OFFSET(TH!F$1,SMALL(Dong,ROWS($1:4)),))</f>
        <v>Thanh toán tiền thi công</v>
      </c>
      <c r="E17" s="127" t="str">
        <f ca="1">IF(ROWS($1:4)&gt;COUNT(Dong),"",IF(OFFSET(TH!N$1,SMALL(Dong,ROWS($1:4)),)="331",OFFSET(TH!O$1,SMALL(Dong,ROWS($1:4)),),OFFSET(TH!N$1,SMALL(Dong,ROWS($1:4)),)))</f>
        <v>1121</v>
      </c>
      <c r="F17" s="127"/>
      <c r="G17" s="251">
        <f ca="1">IF(ROWS($1:4)&gt;COUNT(Dong),"",IF(OFFSET(TH!N$1,SMALL(Dong,ROWS($1:4)),)="331",OFFSET(TH!M$1,SMALL(Dong,ROWS($1:4)),),0))</f>
        <v>400000000</v>
      </c>
      <c r="H17" s="251">
        <f ca="1">IF(ROWS($1:4)&gt;COUNT(Dong),"",IF(OFFSET(TH!O$1,SMALL(Dong,ROWS($1:4)),)="331",OFFSET(TH!M$1,SMALL(Dong,ROWS($1:4)),),0))</f>
        <v>0</v>
      </c>
      <c r="I17" s="33">
        <f t="shared" ca="1" si="1"/>
        <v>1600000000</v>
      </c>
      <c r="J17" s="33">
        <f t="shared" ca="1" si="2"/>
        <v>0</v>
      </c>
    </row>
    <row r="18" spans="1:10" s="26" customFormat="1" ht="18" customHeight="1">
      <c r="A18" s="11">
        <f t="shared" ca="1" si="0"/>
        <v>42528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42528</v>
      </c>
      <c r="D18" s="126" t="str">
        <f ca="1">IF(ROWS($1:5)&gt;COUNT(Dong),"",OFFSET(TH!F$1,SMALL(Dong,ROWS($1:5)),))</f>
        <v>Đóng trần, cửa nhôm, cửa kính HĐ số:14/HĐKT.15 &amp; PLHĐ/PH-AL</v>
      </c>
      <c r="E18" s="127" t="str">
        <f ca="1">IF(ROWS($1:5)&gt;COUNT(Dong),"",IF(OFFSET(TH!N$1,SMALL(Dong,ROWS($1:5)),)="331",OFFSET(TH!O$1,SMALL(Dong,ROWS($1:5)),),OFFSET(TH!N$1,SMALL(Dong,ROWS($1:5)),)))</f>
        <v>2412</v>
      </c>
      <c r="F18" s="127"/>
      <c r="G18" s="251">
        <f ca="1">IF(ROWS($1:5)&gt;COUNT(Dong),"",IF(OFFSET(TH!N$1,SMALL(Dong,ROWS($1:5)),)="331",OFFSET(TH!M$1,SMALL(Dong,ROWS($1:5)),),0))</f>
        <v>0</v>
      </c>
      <c r="H18" s="251">
        <f ca="1">IF(ROWS($1:5)&gt;COUNT(Dong),"",IF(OFFSET(TH!O$1,SMALL(Dong,ROWS($1:5)),)="331",OFFSET(TH!M$1,SMALL(Dong,ROWS($1:5)),),0))</f>
        <v>2172148100</v>
      </c>
      <c r="I18" s="33">
        <f t="shared" ca="1" si="1"/>
        <v>0</v>
      </c>
      <c r="J18" s="33">
        <f t="shared" ca="1" si="2"/>
        <v>572148100</v>
      </c>
    </row>
    <row r="19" spans="1:10" s="26" customFormat="1" ht="18" customHeight="1">
      <c r="A19" s="11">
        <f t="shared" ca="1" si="0"/>
        <v>42528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42528</v>
      </c>
      <c r="D19" s="126" t="str">
        <f ca="1">IF(ROWS($1:6)&gt;COUNT(Dong),"",OFFSET(TH!F$1,SMALL(Dong,ROWS($1:6)),))</f>
        <v>VAT Đóng trần, cửa nhôm, cửa kính HĐ số:14/HĐKT.15 &amp; PLHĐ/PH-AL</v>
      </c>
      <c r="E19" s="127" t="str">
        <f ca="1">IF(ROWS($1:6)&gt;COUNT(Dong),"",IF(OFFSET(TH!N$1,SMALL(Dong,ROWS($1:6)),)="331",OFFSET(TH!O$1,SMALL(Dong,ROWS($1:6)),),OFFSET(TH!N$1,SMALL(Dong,ROWS($1:6)),)))</f>
        <v>1332</v>
      </c>
      <c r="F19" s="127"/>
      <c r="G19" s="251">
        <f ca="1">IF(ROWS($1:6)&gt;COUNT(Dong),"",IF(OFFSET(TH!N$1,SMALL(Dong,ROWS($1:6)),)="331",OFFSET(TH!M$1,SMALL(Dong,ROWS($1:6)),),0))</f>
        <v>0</v>
      </c>
      <c r="H19" s="251">
        <f ca="1">IF(ROWS($1:6)&gt;COUNT(Dong),"",IF(OFFSET(TH!O$1,SMALL(Dong,ROWS($1:6)),)="331",OFFSET(TH!M$1,SMALL(Dong,ROWS($1:6)),),0))</f>
        <v>217214810</v>
      </c>
      <c r="I19" s="33">
        <f t="shared" ca="1" si="1"/>
        <v>0</v>
      </c>
      <c r="J19" s="33">
        <f t="shared" ca="1" si="2"/>
        <v>789362910</v>
      </c>
    </row>
    <row r="20" spans="1:10" s="26" customFormat="1" ht="18" customHeight="1">
      <c r="A20" s="11" t="str">
        <f t="shared" ca="1" si="0"/>
        <v/>
      </c>
      <c r="B20" s="11" t="str">
        <f ca="1">IF(ROWS($1:7)&gt;COUNT(Dong),"",OFFSET(TH!D$1,SMALL(Dong,ROWS($1:7)),))</f>
        <v/>
      </c>
      <c r="C20" s="11" t="str">
        <f ca="1">IF(ROWS($1:7)&gt;COUNT(Dong),"",OFFSET(TH!E$1,SMALL(Dong,ROWS($1:7)),))</f>
        <v/>
      </c>
      <c r="D20" s="126" t="str">
        <f ca="1">IF(ROWS($1:7)&gt;COUNT(Dong),"",OFFSET(TH!F$1,SMALL(Dong,ROWS($1:7)),))</f>
        <v/>
      </c>
      <c r="E20" s="127" t="str">
        <f ca="1">IF(ROWS($1:7)&gt;COUNT(Dong),"",IF(OFFSET(TH!N$1,SMALL(Dong,ROWS($1:7)),)="331",OFFSET(TH!O$1,SMALL(Dong,ROWS($1:7)),),OFFSET(TH!N$1,SMALL(Dong,ROWS($1:7)),)))</f>
        <v/>
      </c>
      <c r="F20" s="127"/>
      <c r="G20" s="251" t="str">
        <f ca="1">IF(ROWS($1:7)&gt;COUNT(Dong),"",IF(OFFSET(TH!N$1,SMALL(Dong,ROWS($1:7)),)="331",OFFSET(TH!M$1,SMALL(Dong,ROWS($1:7)),),0))</f>
        <v/>
      </c>
      <c r="H20" s="251" t="str">
        <f ca="1">IF(ROWS($1:7)&gt;COUNT(Dong),"",IF(OFFSET(TH!O$1,SMALL(Dong,ROWS($1:7)),)="331",OFFSET(TH!M$1,SMALL(Dong,ROWS($1:7)),),0))</f>
        <v/>
      </c>
      <c r="I20" s="33">
        <f t="shared" ca="1" si="1"/>
        <v>0</v>
      </c>
      <c r="J20" s="33">
        <f t="shared" ca="1" si="2"/>
        <v>0</v>
      </c>
    </row>
    <row r="21" spans="1:10" s="26" customFormat="1" ht="18" customHeight="1">
      <c r="A21" s="11" t="str">
        <f t="shared" ref="A21:A32" ca="1" si="3">IF(C21&lt;&gt;"",C21,"")</f>
        <v/>
      </c>
      <c r="B21" s="11" t="str">
        <f ca="1">IF(ROWS($1:8)&gt;COUNT(Dong),"",OFFSET(TH!D$1,SMALL(Dong,ROWS($1:8)),))</f>
        <v/>
      </c>
      <c r="C21" s="11" t="str">
        <f ca="1">IF(ROWS($1:8)&gt;COUNT(Dong),"",OFFSET(TH!E$1,SMALL(Dong,ROWS($1:8)),))</f>
        <v/>
      </c>
      <c r="D21" s="126" t="str">
        <f ca="1">IF(ROWS($1:8)&gt;COUNT(Dong),"",OFFSET(TH!F$1,SMALL(Dong,ROWS($1:8)),))</f>
        <v/>
      </c>
      <c r="E21" s="127" t="str">
        <f ca="1">IF(ROWS($1:8)&gt;COUNT(Dong),"",IF(OFFSET(TH!N$1,SMALL(Dong,ROWS($1:8)),)="331",OFFSET(TH!O$1,SMALL(Dong,ROWS($1:8)),),OFFSET(TH!N$1,SMALL(Dong,ROWS($1:8)),)))</f>
        <v/>
      </c>
      <c r="F21" s="127"/>
      <c r="G21" s="108" t="str">
        <f ca="1">IF(ROWS($1:8)&gt;COUNT(Dong),"",IF(OFFSET(TH!N$1,SMALL(Dong,ROWS($1:8)),)="331",OFFSET(TH!M$1,SMALL(Dong,ROWS($1:8)),),0))</f>
        <v/>
      </c>
      <c r="H21" s="108" t="str">
        <f ca="1">IF(ROWS($1:8)&gt;COUNT(Dong),"",IF(OFFSET(TH!O$1,SMALL(Dong,ROWS($1:8)),)="331",OFFSET(TH!M$1,SMALL(Dong,ROWS($1:8)),),0))</f>
        <v/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 t="str">
        <f t="shared" ca="1" si="3"/>
        <v/>
      </c>
      <c r="B22" s="11" t="str">
        <f ca="1">IF(ROWS($1:9)&gt;COUNT(Dong),"",OFFSET(TH!D$1,SMALL(Dong,ROWS($1:9)),))</f>
        <v/>
      </c>
      <c r="C22" s="11" t="str">
        <f ca="1">IF(ROWS($1:9)&gt;COUNT(Dong),"",OFFSET(TH!E$1,SMALL(Dong,ROWS($1:9)),))</f>
        <v/>
      </c>
      <c r="D22" s="126" t="str">
        <f ca="1">IF(ROWS($1:9)&gt;COUNT(Dong),"",OFFSET(TH!F$1,SMALL(Dong,ROWS($1:9)),))</f>
        <v/>
      </c>
      <c r="E22" s="127" t="str">
        <f ca="1">IF(ROWS($1:9)&gt;COUNT(Dong),"",IF(OFFSET(TH!N$1,SMALL(Dong,ROWS($1:9)),)="331",OFFSET(TH!O$1,SMALL(Dong,ROWS($1:9)),),OFFSET(TH!N$1,SMALL(Dong,ROWS($1:9)),)))</f>
        <v/>
      </c>
      <c r="F22" s="127"/>
      <c r="G22" s="108" t="str">
        <f ca="1">IF(ROWS($1:9)&gt;COUNT(Dong),"",IF(OFFSET(TH!N$1,SMALL(Dong,ROWS($1:9)),)="331",OFFSET(TH!M$1,SMALL(Dong,ROWS($1:9)),),0))</f>
        <v/>
      </c>
      <c r="H22" s="108" t="str">
        <f ca="1">IF(ROWS($1:9)&gt;COUNT(Dong),"",IF(OFFSET(TH!O$1,SMALL(Dong,ROWS($1:9)),)="331",OFFSET(TH!M$1,SMALL(Dong,ROWS($1:9)),),0))</f>
        <v/>
      </c>
      <c r="I22" s="33">
        <f t="shared" ca="1" si="4"/>
        <v>0</v>
      </c>
      <c r="J22" s="33">
        <f t="shared" ca="1" si="5"/>
        <v>0</v>
      </c>
    </row>
    <row r="23" spans="1:10" s="26" customFormat="1" ht="18" customHeight="1">
      <c r="A23" s="11" t="str">
        <f t="shared" ca="1" si="3"/>
        <v/>
      </c>
      <c r="B23" s="11" t="str">
        <f ca="1">IF(ROWS($1:10)&gt;COUNT(Dong),"",OFFSET(TH!D$1,SMALL(Dong,ROWS($1:10)),))</f>
        <v/>
      </c>
      <c r="C23" s="11" t="str">
        <f ca="1">IF(ROWS($1:10)&gt;COUNT(Dong),"",OFFSET(TH!E$1,SMALL(Dong,ROWS($1:10)),))</f>
        <v/>
      </c>
      <c r="D23" s="126" t="str">
        <f ca="1">IF(ROWS($1:10)&gt;COUNT(Dong),"",OFFSET(TH!F$1,SMALL(Dong,ROWS($1:10)),))</f>
        <v/>
      </c>
      <c r="E23" s="127" t="str">
        <f ca="1">IF(ROWS($1:10)&gt;COUNT(Dong),"",IF(OFFSET(TH!N$1,SMALL(Dong,ROWS($1:10)),)="331",OFFSET(TH!O$1,SMALL(Dong,ROWS($1:10)),),OFFSET(TH!N$1,SMALL(Dong,ROWS($1:10)),)))</f>
        <v/>
      </c>
      <c r="F23" s="127"/>
      <c r="G23" s="108" t="str">
        <f ca="1">IF(ROWS($1:10)&gt;COUNT(Dong),"",IF(OFFSET(TH!N$1,SMALL(Dong,ROWS($1:10)),)="331",OFFSET(TH!M$1,SMALL(Dong,ROWS($1:10)),),0))</f>
        <v/>
      </c>
      <c r="H23" s="108" t="str">
        <f ca="1">IF(ROWS($1:10)&gt;COUNT(Dong),"",IF(OFFSET(TH!O$1,SMALL(Dong,ROWS($1:10)),)="331",OFFSET(TH!M$1,SMALL(Dong,ROWS($1:10)),),0))</f>
        <v/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 t="str">
        <f t="shared" ca="1" si="3"/>
        <v/>
      </c>
      <c r="B24" s="11" t="str">
        <f ca="1">IF(ROWS($1:11)&gt;COUNT(Dong),"",OFFSET(TH!D$1,SMALL(Dong,ROWS($1:11)),))</f>
        <v/>
      </c>
      <c r="C24" s="11" t="str">
        <f ca="1">IF(ROWS($1:11)&gt;COUNT(Dong),"",OFFSET(TH!E$1,SMALL(Dong,ROWS($1:11)),))</f>
        <v/>
      </c>
      <c r="D24" s="126" t="str">
        <f ca="1">IF(ROWS($1:11)&gt;COUNT(Dong),"",OFFSET(TH!F$1,SMALL(Dong,ROWS($1:11)),))</f>
        <v/>
      </c>
      <c r="E24" s="127" t="str">
        <f ca="1">IF(ROWS($1:11)&gt;COUNT(Dong),"",IF(OFFSET(TH!N$1,SMALL(Dong,ROWS($1:11)),)="331",OFFSET(TH!O$1,SMALL(Dong,ROWS($1:11)),),OFFSET(TH!N$1,SMALL(Dong,ROWS($1:11)),)))</f>
        <v/>
      </c>
      <c r="F24" s="127"/>
      <c r="G24" s="108" t="str">
        <f ca="1">IF(ROWS($1:11)&gt;COUNT(Dong),"",IF(OFFSET(TH!N$1,SMALL(Dong,ROWS($1:11)),)="331",OFFSET(TH!M$1,SMALL(Dong,ROWS($1:11)),),0))</f>
        <v/>
      </c>
      <c r="H24" s="108" t="str">
        <f ca="1">IF(ROWS($1:11)&gt;COUNT(Dong),"",IF(OFFSET(TH!O$1,SMALL(Dong,ROWS($1:11)),)="331",OFFSET(TH!M$1,SMALL(Dong,ROWS($1:11)),),0))</f>
        <v/>
      </c>
      <c r="I24" s="33">
        <f t="shared" ca="1" si="4"/>
        <v>0</v>
      </c>
      <c r="J24" s="33">
        <f t="shared" ca="1" si="5"/>
        <v>0</v>
      </c>
    </row>
    <row r="25" spans="1:10" s="26" customFormat="1" ht="18" customHeight="1">
      <c r="A25" s="11" t="str">
        <f t="shared" ca="1" si="3"/>
        <v/>
      </c>
      <c r="B25" s="11" t="str">
        <f ca="1">IF(ROWS($1:12)&gt;COUNT(Dong),"",OFFSET(TH!D$1,SMALL(Dong,ROWS($1:12)),))</f>
        <v/>
      </c>
      <c r="C25" s="11" t="str">
        <f ca="1">IF(ROWS($1:12)&gt;COUNT(Dong),"",OFFSET(TH!E$1,SMALL(Dong,ROWS($1:12)),))</f>
        <v/>
      </c>
      <c r="D25" s="126" t="str">
        <f ca="1">IF(ROWS($1:12)&gt;COUNT(Dong),"",OFFSET(TH!F$1,SMALL(Dong,ROWS($1:12)),))</f>
        <v/>
      </c>
      <c r="E25" s="127" t="str">
        <f ca="1">IF(ROWS($1:12)&gt;COUNT(Dong),"",IF(OFFSET(TH!N$1,SMALL(Dong,ROWS($1:12)),)="331",OFFSET(TH!O$1,SMALL(Dong,ROWS($1:12)),),OFFSET(TH!N$1,SMALL(Dong,ROWS($1:12)),)))</f>
        <v/>
      </c>
      <c r="F25" s="127"/>
      <c r="G25" s="108" t="str">
        <f ca="1">IF(ROWS($1:12)&gt;COUNT(Dong),"",IF(OFFSET(TH!N$1,SMALL(Dong,ROWS($1:12)),)="331",OFFSET(TH!M$1,SMALL(Dong,ROWS($1:12)),),0))</f>
        <v/>
      </c>
      <c r="H25" s="108" t="str">
        <f ca="1">IF(ROWS($1:12)&gt;COUNT(Dong),"",IF(OFFSET(TH!O$1,SMALL(Dong,ROWS($1:12)),)="331",OFFSET(TH!M$1,SMALL(Dong,ROWS($1:12)),),0))</f>
        <v/>
      </c>
      <c r="I25" s="33">
        <f t="shared" ca="1" si="4"/>
        <v>0</v>
      </c>
      <c r="J25" s="33">
        <f t="shared" ca="1" si="5"/>
        <v>0</v>
      </c>
    </row>
    <row r="26" spans="1:10" s="26" customFormat="1" ht="18" customHeight="1">
      <c r="A26" s="11" t="str">
        <f t="shared" ca="1" si="3"/>
        <v/>
      </c>
      <c r="B26" s="11" t="str">
        <f ca="1">IF(ROWS($1:13)&gt;COUNT(Dong),"",OFFSET(TH!D$1,SMALL(Dong,ROWS($1:13)),))</f>
        <v/>
      </c>
      <c r="C26" s="11" t="str">
        <f ca="1">IF(ROWS($1:13)&gt;COUNT(Dong),"",OFFSET(TH!E$1,SMALL(Dong,ROWS($1:13)),))</f>
        <v/>
      </c>
      <c r="D26" s="126" t="str">
        <f ca="1">IF(ROWS($1:13)&gt;COUNT(Dong),"",OFFSET(TH!F$1,SMALL(Dong,ROWS($1:13)),))</f>
        <v/>
      </c>
      <c r="E26" s="127" t="str">
        <f ca="1">IF(ROWS($1:13)&gt;COUNT(Dong),"",IF(OFFSET(TH!N$1,SMALL(Dong,ROWS($1:13)),)="331",OFFSET(TH!O$1,SMALL(Dong,ROWS($1:13)),),OFFSET(TH!N$1,SMALL(Dong,ROWS($1:13)),)))</f>
        <v/>
      </c>
      <c r="F26" s="127"/>
      <c r="G26" s="108" t="str">
        <f ca="1">IF(ROWS($1:13)&gt;COUNT(Dong),"",IF(OFFSET(TH!N$1,SMALL(Dong,ROWS($1:13)),)="331",OFFSET(TH!M$1,SMALL(Dong,ROWS($1:13)),),0))</f>
        <v/>
      </c>
      <c r="H26" s="108" t="str">
        <f ca="1">IF(ROWS($1:13)&gt;COUNT(Dong),"",IF(OFFSET(TH!O$1,SMALL(Dong,ROWS($1:13)),)="331",OFFSET(TH!M$1,SMALL(Dong,ROWS($1:13)),),0))</f>
        <v/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IF(ROWS($1:14)&gt;COUNT(Dong),"",IF(OFFSET(TH!N$1,SMALL(Dong,ROWS($1:14)),)="331",OFFSET(TH!O$1,SMALL(Dong,ROWS($1:14)),),OFFSET(TH!N$1,SMALL(Dong,ROWS($1:14)),)))</f>
        <v/>
      </c>
      <c r="F27" s="127"/>
      <c r="G27" s="108" t="str">
        <f ca="1">IF(ROWS($1:14)&gt;COUNT(Dong),"",IF(OFFSET(TH!N$1,SMALL(Dong,ROWS($1:14)),)="331",OFFSET(TH!M$1,SMALL(Dong,ROWS($1:14)),),0))</f>
        <v/>
      </c>
      <c r="H27" s="108" t="str">
        <f ca="1">IF(ROWS($1:14)&gt;COUNT(Dong),"",IF(OFFSET(TH!O$1,SMALL(Dong,ROWS($1:14)),)="331",OFFSET(TH!M$1,SMALL(Dong,ROWS($1:14)),),0))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IF(ROWS($1:15)&gt;COUNT(Dong),"",IF(OFFSET(TH!N$1,SMALL(Dong,ROWS($1:15)),)="331",OFFSET(TH!O$1,SMALL(Dong,ROWS($1:15)),),OFFSET(TH!N$1,SMALL(Dong,ROWS($1:15)),)))</f>
        <v/>
      </c>
      <c r="F28" s="127"/>
      <c r="G28" s="108" t="str">
        <f ca="1">IF(ROWS($1:15)&gt;COUNT(Dong),"",IF(OFFSET(TH!N$1,SMALL(Dong,ROWS($1:15)),)="331",OFFSET(TH!M$1,SMALL(Dong,ROWS($1:15)),),0))</f>
        <v/>
      </c>
      <c r="H28" s="108" t="str">
        <f ca="1">IF(ROWS($1:15)&gt;COUNT(Dong),"",IF(OFFSET(TH!O$1,SMALL(Dong,ROWS($1:15)),)="331",OFFSET(TH!M$1,SMALL(Dong,ROWS($1:15)),),0))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IF(ROWS($1:16)&gt;COUNT(Dong),"",IF(OFFSET(TH!N$1,SMALL(Dong,ROWS($1:16)),)="331",OFFSET(TH!O$1,SMALL(Dong,ROWS($1:16)),),OFFSET(TH!N$1,SMALL(Dong,ROWS($1:16)),)))</f>
        <v/>
      </c>
      <c r="F29" s="127"/>
      <c r="G29" s="108" t="str">
        <f ca="1">IF(ROWS($1:16)&gt;COUNT(Dong),"",IF(OFFSET(TH!N$1,SMALL(Dong,ROWS($1:16)),)="331",OFFSET(TH!M$1,SMALL(Dong,ROWS($1:16)),),0))</f>
        <v/>
      </c>
      <c r="H29" s="108" t="str">
        <f ca="1">IF(ROWS($1:16)&gt;COUNT(Dong),"",IF(OFFSET(TH!O$1,SMALL(Dong,ROWS($1:16)),)="331",OFFSET(TH!M$1,SMALL(Dong,ROWS($1:16)),),0))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IF(ROWS($1:17)&gt;COUNT(Dong),"",IF(OFFSET(TH!N$1,SMALL(Dong,ROWS($1:17)),)="331",OFFSET(TH!O$1,SMALL(Dong,ROWS($1:17)),),OFFSET(TH!N$1,SMALL(Dong,ROWS($1:17)),)))</f>
        <v/>
      </c>
      <c r="F30" s="127"/>
      <c r="G30" s="108" t="str">
        <f ca="1">IF(ROWS($1:17)&gt;COUNT(Dong),"",IF(OFFSET(TH!N$1,SMALL(Dong,ROWS($1:17)),)="331",OFFSET(TH!M$1,SMALL(Dong,ROWS($1:17)),),0))</f>
        <v/>
      </c>
      <c r="H30" s="108" t="str">
        <f ca="1">IF(ROWS($1:17)&gt;COUNT(Dong),"",IF(OFFSET(TH!O$1,SMALL(Dong,ROWS($1:17)),)="331",OFFSET(TH!M$1,SMALL(Dong,ROWS($1:17)),),0))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IF(ROWS($1:18)&gt;COUNT(Dong),"",IF(OFFSET(TH!N$1,SMALL(Dong,ROWS($1:18)),)="331",OFFSET(TH!O$1,SMALL(Dong,ROWS($1:18)),),OFFSET(TH!N$1,SMALL(Dong,ROWS($1:18)),)))</f>
        <v/>
      </c>
      <c r="F31" s="127"/>
      <c r="G31" s="108" t="str">
        <f ca="1">IF(ROWS($1:18)&gt;COUNT(Dong),"",IF(OFFSET(TH!N$1,SMALL(Dong,ROWS($1:18)),)="331",OFFSET(TH!M$1,SMALL(Dong,ROWS($1:18)),),0))</f>
        <v/>
      </c>
      <c r="H31" s="108" t="str">
        <f ca="1">IF(ROWS($1:18)&gt;COUNT(Dong),"",IF(OFFSET(TH!O$1,SMALL(Dong,ROWS($1:18)),)="331",OFFSET(TH!M$1,SMALL(Dong,ROWS($1:18)),),0))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IF(ROWS($1:19)&gt;COUNT(Dong),"",IF(OFFSET(TH!N$1,SMALL(Dong,ROWS($1:19)),)="331",OFFSET(TH!O$1,SMALL(Dong,ROWS($1:19)),),OFFSET(TH!N$1,SMALL(Dong,ROWS($1:19)),)))</f>
        <v/>
      </c>
      <c r="F32" s="127"/>
      <c r="G32" s="108" t="str">
        <f ca="1">IF(ROWS($1:19)&gt;COUNT(Dong),"",IF(OFFSET(TH!N$1,SMALL(Dong,ROWS($1:19)),)="331",OFFSET(TH!M$1,SMALL(Dong,ROWS($1:19)),),0))</f>
        <v/>
      </c>
      <c r="H32" s="108" t="str">
        <f ca="1">IF(ROWS($1:19)&gt;COUNT(Dong),"",IF(OFFSET(TH!O$1,SMALL(Dong,ROWS($1:19)),)="331",OFFSET(TH!M$1,SMALL(Dong,ROWS($1:19)),),0))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IF(ROWS($1:20)&gt;COUNT(Dong),"",IF(OFFSET(TH!N$1,SMALL(Dong,ROWS($1:20)),)="331",OFFSET(TH!O$1,SMALL(Dong,ROWS($1:20)),),OFFSET(TH!N$1,SMALL(Dong,ROWS($1:20)),)))</f>
        <v/>
      </c>
      <c r="F33" s="127"/>
      <c r="G33" s="138" t="str">
        <f ca="1">IF(ROWS($1:20)&gt;COUNT(Dong),"",IF(OFFSET(TH!N$1,SMALL(Dong,ROWS($1:20)),)="331",OFFSET(TH!M$1,SMALL(Dong,ROWS($1:20)),),0))</f>
        <v/>
      </c>
      <c r="H33" s="138" t="str">
        <f ca="1">IF(ROWS($1:20)&gt;COUNT(Dong),"",IF(OFFSET(TH!O$1,SMALL(Dong,ROWS($1:20)),)="331",OFFSET(TH!M$1,SMALL(Dong,ROWS($1:20)),),0))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IF(ROWS($1:21)&gt;COUNT(Dong),"",IF(OFFSET(TH!N$1,SMALL(Dong,ROWS($1:21)),)="331",OFFSET(TH!O$1,SMALL(Dong,ROWS($1:21)),),OFFSET(TH!N$1,SMALL(Dong,ROWS($1:21)),)))</f>
        <v/>
      </c>
      <c r="F34" s="127"/>
      <c r="G34" s="138" t="str">
        <f ca="1">IF(ROWS($1:21)&gt;COUNT(Dong),"",IF(OFFSET(TH!N$1,SMALL(Dong,ROWS($1:21)),)="331",OFFSET(TH!M$1,SMALL(Dong,ROWS($1:21)),),0))</f>
        <v/>
      </c>
      <c r="H34" s="138" t="str">
        <f ca="1">IF(ROWS($1:21)&gt;COUNT(Dong),"",IF(OFFSET(TH!O$1,SMALL(Dong,ROWS($1:21)),)="331",OFFSET(TH!M$1,SMALL(Dong,ROWS($1:21)),),0))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IF(ROWS($1:22)&gt;COUNT(Dong),"",IF(OFFSET(TH!N$1,SMALL(Dong,ROWS($1:22)),)="331",OFFSET(TH!O$1,SMALL(Dong,ROWS($1:22)),),OFFSET(TH!N$1,SMALL(Dong,ROWS($1:22)),)))</f>
        <v/>
      </c>
      <c r="F35" s="127"/>
      <c r="G35" s="138" t="str">
        <f ca="1">IF(ROWS($1:22)&gt;COUNT(Dong),"",IF(OFFSET(TH!N$1,SMALL(Dong,ROWS($1:22)),)="331",OFFSET(TH!M$1,SMALL(Dong,ROWS($1:22)),),0))</f>
        <v/>
      </c>
      <c r="H35" s="138" t="str">
        <f ca="1">IF(ROWS($1:22)&gt;COUNT(Dong),"",IF(OFFSET(TH!O$1,SMALL(Dong,ROWS($1:22)),)="331",OFFSET(TH!M$1,SMALL(Dong,ROWS($1:22)),),0))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IF(ROWS($1:23)&gt;COUNT(Dong),"",IF(OFFSET(TH!N$1,SMALL(Dong,ROWS($1:23)),)="331",OFFSET(TH!O$1,SMALL(Dong,ROWS($1:23)),),OFFSET(TH!N$1,SMALL(Dong,ROWS($1:23)),)))</f>
        <v/>
      </c>
      <c r="F36" s="127"/>
      <c r="G36" s="138" t="str">
        <f ca="1">IF(ROWS($1:23)&gt;COUNT(Dong),"",IF(OFFSET(TH!N$1,SMALL(Dong,ROWS($1:23)),)="331",OFFSET(TH!M$1,SMALL(Dong,ROWS($1:23)),),0))</f>
        <v/>
      </c>
      <c r="H36" s="138" t="str">
        <f ca="1">IF(ROWS($1:23)&gt;COUNT(Dong),"",IF(OFFSET(TH!O$1,SMALL(Dong,ROWS($1:23)),)="331",OFFSET(TH!M$1,SMALL(Dong,ROWS($1:23)),),0))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IF(ROWS($1:24)&gt;COUNT(Dong),"",IF(OFFSET(TH!N$1,SMALL(Dong,ROWS($1:24)),)="331",OFFSET(TH!O$1,SMALL(Dong,ROWS($1:24)),),OFFSET(TH!N$1,SMALL(Dong,ROWS($1:24)),)))</f>
        <v/>
      </c>
      <c r="F37" s="127"/>
      <c r="G37" s="138" t="str">
        <f ca="1">IF(ROWS($1:24)&gt;COUNT(Dong),"",IF(OFFSET(TH!N$1,SMALL(Dong,ROWS($1:24)),)="331",OFFSET(TH!M$1,SMALL(Dong,ROWS($1:24)),),0))</f>
        <v/>
      </c>
      <c r="H37" s="138" t="str">
        <f ca="1">IF(ROWS($1:24)&gt;COUNT(Dong),"",IF(OFFSET(TH!O$1,SMALL(Dong,ROWS($1:24)),)="331",OFFSET(TH!M$1,SMALL(Dong,ROWS($1:24)),),0))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IF(ROWS($1:25)&gt;COUNT(Dong),"",IF(OFFSET(TH!N$1,SMALL(Dong,ROWS($1:25)),)="331",OFFSET(TH!O$1,SMALL(Dong,ROWS($1:25)),),OFFSET(TH!N$1,SMALL(Dong,ROWS($1:25)),)))</f>
        <v/>
      </c>
      <c r="F38" s="127"/>
      <c r="G38" s="138" t="str">
        <f ca="1">IF(ROWS($1:25)&gt;COUNT(Dong),"",IF(OFFSET(TH!N$1,SMALL(Dong,ROWS($1:25)),)="331",OFFSET(TH!M$1,SMALL(Dong,ROWS($1:25)),),0))</f>
        <v/>
      </c>
      <c r="H38" s="138" t="str">
        <f ca="1">IF(ROWS($1:25)&gt;COUNT(Dong),"",IF(OFFSET(TH!O$1,SMALL(Dong,ROWS($1:25)),)="331",OFFSET(TH!M$1,SMALL(Dong,ROWS($1:25)),),0))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IF(ROWS($1:26)&gt;COUNT(Dong),"",IF(OFFSET(TH!N$1,SMALL(Dong,ROWS($1:26)),)="331",OFFSET(TH!O$1,SMALL(Dong,ROWS($1:26)),),OFFSET(TH!N$1,SMALL(Dong,ROWS($1:26)),)))</f>
        <v/>
      </c>
      <c r="F39" s="127"/>
      <c r="G39" s="138" t="str">
        <f ca="1">IF(ROWS($1:26)&gt;COUNT(Dong),"",IF(OFFSET(TH!N$1,SMALL(Dong,ROWS($1:26)),)="331",OFFSET(TH!M$1,SMALL(Dong,ROWS($1:26)),),0))</f>
        <v/>
      </c>
      <c r="H39" s="138" t="str">
        <f ca="1">IF(ROWS($1:26)&gt;COUNT(Dong),"",IF(OFFSET(TH!O$1,SMALL(Dong,ROWS($1:26)),)="331",OFFSET(TH!M$1,SMALL(Dong,ROWS($1:26)),),0))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IF(ROWS($1:27)&gt;COUNT(Dong),"",IF(OFFSET(TH!N$1,SMALL(Dong,ROWS($1:27)),)="331",OFFSET(TH!O$1,SMALL(Dong,ROWS($1:27)),),OFFSET(TH!N$1,SMALL(Dong,ROWS($1:27)),)))</f>
        <v/>
      </c>
      <c r="F40" s="127"/>
      <c r="G40" s="231" t="str">
        <f ca="1">IF(ROWS($1:27)&gt;COUNT(Dong),"",IF(OFFSET(TH!N$1,SMALL(Dong,ROWS($1:27)),)="331",OFFSET(TH!M$1,SMALL(Dong,ROWS($1:27)),),0))</f>
        <v/>
      </c>
      <c r="H40" s="231" t="str">
        <f ca="1">IF(ROWS($1:27)&gt;COUNT(Dong),"",IF(OFFSET(TH!O$1,SMALL(Dong,ROWS($1:27)),)="331",OFFSET(TH!M$1,SMALL(Dong,ROWS($1:27)),),0))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IF(ROWS($1:28)&gt;COUNT(Dong),"",IF(OFFSET(TH!N$1,SMALL(Dong,ROWS($1:28)),)="331",OFFSET(TH!O$1,SMALL(Dong,ROWS($1:28)),),OFFSET(TH!N$1,SMALL(Dong,ROWS($1:28)),)))</f>
        <v/>
      </c>
      <c r="F41" s="127"/>
      <c r="G41" s="231" t="str">
        <f ca="1">IF(ROWS($1:28)&gt;COUNT(Dong),"",IF(OFFSET(TH!N$1,SMALL(Dong,ROWS($1:28)),)="331",OFFSET(TH!M$1,SMALL(Dong,ROWS($1:28)),),0))</f>
        <v/>
      </c>
      <c r="H41" s="231" t="str">
        <f ca="1">IF(ROWS($1:28)&gt;COUNT(Dong),"",IF(OFFSET(TH!O$1,SMALL(Dong,ROWS($1:28)),)="331",OFFSET(TH!M$1,SMALL(Dong,ROWS($1:28)),),0))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IF(ROWS($1:29)&gt;COUNT(Dong),"",IF(OFFSET(TH!N$1,SMALL(Dong,ROWS($1:29)),)="331",OFFSET(TH!O$1,SMALL(Dong,ROWS($1:29)),),OFFSET(TH!N$1,SMALL(Dong,ROWS($1:29)),)))</f>
        <v/>
      </c>
      <c r="F42" s="127"/>
      <c r="G42" s="231" t="str">
        <f ca="1">IF(ROWS($1:29)&gt;COUNT(Dong),"",IF(OFFSET(TH!N$1,SMALL(Dong,ROWS($1:29)),)="331",OFFSET(TH!M$1,SMALL(Dong,ROWS($1:29)),),0))</f>
        <v/>
      </c>
      <c r="H42" s="231" t="str">
        <f ca="1">IF(ROWS($1:29)&gt;COUNT(Dong),"",IF(OFFSET(TH!O$1,SMALL(Dong,ROWS($1:29)),)="331",OFFSET(TH!M$1,SMALL(Dong,ROWS($1:29)),),0))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IF(ROWS($1:30)&gt;COUNT(Dong),"",IF(OFFSET(TH!N$1,SMALL(Dong,ROWS($1:30)),)="331",OFFSET(TH!O$1,SMALL(Dong,ROWS($1:30)),),OFFSET(TH!N$1,SMALL(Dong,ROWS($1:30)),)))</f>
        <v/>
      </c>
      <c r="F43" s="127"/>
      <c r="G43" s="231" t="str">
        <f ca="1">IF(ROWS($1:30)&gt;COUNT(Dong),"",IF(OFFSET(TH!N$1,SMALL(Dong,ROWS($1:30)),)="331",OFFSET(TH!M$1,SMALL(Dong,ROWS($1:30)),),0))</f>
        <v/>
      </c>
      <c r="H43" s="231" t="str">
        <f ca="1">IF(ROWS($1:30)&gt;COUNT(Dong),"",IF(OFFSET(TH!O$1,SMALL(Dong,ROWS($1:30)),)="331",OFFSET(TH!M$1,SMALL(Dong,ROWS($1:30)),),0))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IF(ROWS($1:31)&gt;COUNT(Dong),"",IF(OFFSET(TH!N$1,SMALL(Dong,ROWS($1:31)),)="331",OFFSET(TH!O$1,SMALL(Dong,ROWS($1:31)),),OFFSET(TH!N$1,SMALL(Dong,ROWS($1:31)),)))</f>
        <v/>
      </c>
      <c r="F44" s="127"/>
      <c r="G44" s="231" t="str">
        <f ca="1">IF(ROWS($1:31)&gt;COUNT(Dong),"",IF(OFFSET(TH!N$1,SMALL(Dong,ROWS($1:31)),)="331",OFFSET(TH!M$1,SMALL(Dong,ROWS($1:31)),),0))</f>
        <v/>
      </c>
      <c r="H44" s="231" t="str">
        <f ca="1">IF(ROWS($1:31)&gt;COUNT(Dong),"",IF(OFFSET(TH!O$1,SMALL(Dong,ROWS($1:31)),)="331",OFFSET(TH!M$1,SMALL(Dong,ROWS($1:31)),),0))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IF(ROWS($1:32)&gt;COUNT(Dong),"",IF(OFFSET(TH!N$1,SMALL(Dong,ROWS($1:32)),)="331",OFFSET(TH!O$1,SMALL(Dong,ROWS($1:32)),),OFFSET(TH!N$1,SMALL(Dong,ROWS($1:32)),)))</f>
        <v/>
      </c>
      <c r="F45" s="127"/>
      <c r="G45" s="231" t="str">
        <f ca="1">IF(ROWS($1:32)&gt;COUNT(Dong),"",IF(OFFSET(TH!N$1,SMALL(Dong,ROWS($1:32)),)="331",OFFSET(TH!M$1,SMALL(Dong,ROWS($1:32)),),0))</f>
        <v/>
      </c>
      <c r="H45" s="231" t="str">
        <f ca="1">IF(ROWS($1:32)&gt;COUNT(Dong),"",IF(OFFSET(TH!O$1,SMALL(Dong,ROWS($1:32)),)="331",OFFSET(TH!M$1,SMALL(Dong,ROWS($1:32)),),0))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IF(ROWS($1:33)&gt;COUNT(Dong),"",IF(OFFSET(TH!N$1,SMALL(Dong,ROWS($1:33)),)="331",OFFSET(TH!O$1,SMALL(Dong,ROWS($1:33)),),OFFSET(TH!N$1,SMALL(Dong,ROWS($1:33)),)))</f>
        <v/>
      </c>
      <c r="F46" s="127"/>
      <c r="G46" s="231" t="str">
        <f ca="1">IF(ROWS($1:33)&gt;COUNT(Dong),"",IF(OFFSET(TH!N$1,SMALL(Dong,ROWS($1:33)),)="331",OFFSET(TH!M$1,SMALL(Dong,ROWS($1:33)),),0))</f>
        <v/>
      </c>
      <c r="H46" s="231" t="str">
        <f ca="1">IF(ROWS($1:33)&gt;COUNT(Dong),"",IF(OFFSET(TH!O$1,SMALL(Dong,ROWS($1:33)),)="331",OFFSET(TH!M$1,SMALL(Dong,ROWS($1:33)),),0))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IF(ROWS($1:34)&gt;COUNT(Dong),"",IF(OFFSET(TH!N$1,SMALL(Dong,ROWS($1:34)),)="331",OFFSET(TH!O$1,SMALL(Dong,ROWS($1:34)),),OFFSET(TH!N$1,SMALL(Dong,ROWS($1:34)),)))</f>
        <v/>
      </c>
      <c r="F47" s="127"/>
      <c r="G47" s="231" t="str">
        <f ca="1">IF(ROWS($1:34)&gt;COUNT(Dong),"",IF(OFFSET(TH!N$1,SMALL(Dong,ROWS($1:34)),)="331",OFFSET(TH!M$1,SMALL(Dong,ROWS($1:34)),),0))</f>
        <v/>
      </c>
      <c r="H47" s="231" t="str">
        <f ca="1">IF(ROWS($1:34)&gt;COUNT(Dong),"",IF(OFFSET(TH!O$1,SMALL(Dong,ROWS($1:34)),)="331",OFFSET(TH!M$1,SMALL(Dong,ROWS($1:34)),),0))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IF(ROWS($1:35)&gt;COUNT(Dong),"",IF(OFFSET(TH!N$1,SMALL(Dong,ROWS($1:35)),)="331",OFFSET(TH!O$1,SMALL(Dong,ROWS($1:35)),),OFFSET(TH!N$1,SMALL(Dong,ROWS($1:35)),)))</f>
        <v/>
      </c>
      <c r="F48" s="127"/>
      <c r="G48" s="231" t="str">
        <f ca="1">IF(ROWS($1:35)&gt;COUNT(Dong),"",IF(OFFSET(TH!N$1,SMALL(Dong,ROWS($1:35)),)="331",OFFSET(TH!M$1,SMALL(Dong,ROWS($1:35)),),0))</f>
        <v/>
      </c>
      <c r="H48" s="231" t="str">
        <f ca="1">IF(ROWS($1:35)&gt;COUNT(Dong),"",IF(OFFSET(TH!O$1,SMALL(Dong,ROWS($1:35)),)="331",OFFSET(TH!M$1,SMALL(Dong,ROWS($1:35)),),0))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IF(ROWS($1:36)&gt;COUNT(Dong),"",IF(OFFSET(TH!N$1,SMALL(Dong,ROWS($1:36)),)="331",OFFSET(TH!O$1,SMALL(Dong,ROWS($1:36)),),OFFSET(TH!N$1,SMALL(Dong,ROWS($1:36)),)))</f>
        <v/>
      </c>
      <c r="F49" s="127"/>
      <c r="G49" s="231" t="str">
        <f ca="1">IF(ROWS($1:36)&gt;COUNT(Dong),"",IF(OFFSET(TH!N$1,SMALL(Dong,ROWS($1:36)),)="331",OFFSET(TH!M$1,SMALL(Dong,ROWS($1:36)),),0))</f>
        <v/>
      </c>
      <c r="H49" s="231" t="str">
        <f ca="1">IF(ROWS($1:36)&gt;COUNT(Dong),"",IF(OFFSET(TH!O$1,SMALL(Dong,ROWS($1:36)),)="331",OFFSET(TH!M$1,SMALL(Dong,ROWS($1:36)),),0))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IF(ROWS($1:37)&gt;COUNT(Dong),"",IF(OFFSET(TH!N$1,SMALL(Dong,ROWS($1:37)),)="331",OFFSET(TH!O$1,SMALL(Dong,ROWS($1:37)),),OFFSET(TH!N$1,SMALL(Dong,ROWS($1:37)),)))</f>
        <v/>
      </c>
      <c r="F50" s="127"/>
      <c r="G50" s="231" t="str">
        <f ca="1">IF(ROWS($1:37)&gt;COUNT(Dong),"",IF(OFFSET(TH!N$1,SMALL(Dong,ROWS($1:37)),)="331",OFFSET(TH!M$1,SMALL(Dong,ROWS($1:37)),),0))</f>
        <v/>
      </c>
      <c r="H50" s="231" t="str">
        <f ca="1">IF(ROWS($1:37)&gt;COUNT(Dong),"",IF(OFFSET(TH!O$1,SMALL(Dong,ROWS($1:37)),)="331",OFFSET(TH!M$1,SMALL(Dong,ROWS($1:37)),),0))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1600000000</v>
      </c>
      <c r="H51" s="35">
        <f ca="1">SUM(H14:H50)</f>
        <v>2389362910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789362910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62" t="s">
        <v>77</v>
      </c>
      <c r="F56" s="562"/>
      <c r="G56" s="562"/>
      <c r="H56" s="562"/>
      <c r="I56" s="562"/>
      <c r="J56" s="562"/>
    </row>
    <row r="57" spans="1:10" s="26" customFormat="1" ht="14.25" customHeight="1">
      <c r="A57" s="562" t="s">
        <v>26</v>
      </c>
      <c r="B57" s="562"/>
      <c r="C57" s="562"/>
      <c r="D57" s="562"/>
      <c r="E57" s="562" t="s">
        <v>27</v>
      </c>
      <c r="F57" s="562"/>
      <c r="G57" s="562"/>
      <c r="H57" s="562"/>
      <c r="I57" s="562"/>
      <c r="J57" s="562"/>
    </row>
    <row r="58" spans="1:10" s="26" customFormat="1" ht="14.25" customHeight="1">
      <c r="A58" s="562" t="s">
        <v>28</v>
      </c>
      <c r="B58" s="562"/>
      <c r="C58" s="562"/>
      <c r="D58" s="562"/>
      <c r="E58" s="562" t="s">
        <v>28</v>
      </c>
      <c r="F58" s="562"/>
      <c r="G58" s="562"/>
      <c r="H58" s="562"/>
      <c r="I58" s="562"/>
      <c r="J58" s="562"/>
    </row>
    <row r="59" spans="1:10" s="37" customFormat="1"/>
  </sheetData>
  <autoFilter ref="A12:J32"/>
  <mergeCells count="17"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  <mergeCell ref="A57:D57"/>
    <mergeCell ref="E57:J57"/>
    <mergeCell ref="A58:D58"/>
    <mergeCell ref="E58:J5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J18" sqref="J18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29" t="str">
        <f ca="1">"CHI PHÍ XÂY DỰNG TRÀ VINH   " &amp; TEXT(NOW(),"dd/MM/yyyy")</f>
        <v>CHI PHÍ XÂY DỰNG TRÀ VINH   03/10/2017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303"/>
    </row>
    <row r="3" spans="1:12" s="145" customFormat="1" ht="19.5" customHeight="1">
      <c r="A3" s="530" t="s">
        <v>79</v>
      </c>
      <c r="B3" s="530" t="s">
        <v>359</v>
      </c>
      <c r="C3" s="530" t="s">
        <v>360</v>
      </c>
      <c r="D3" s="530" t="s">
        <v>361</v>
      </c>
      <c r="E3" s="531" t="s">
        <v>362</v>
      </c>
      <c r="F3" s="532"/>
      <c r="G3" s="533"/>
      <c r="H3" s="531" t="s">
        <v>363</v>
      </c>
      <c r="I3" s="533"/>
      <c r="J3" s="534" t="s">
        <v>364</v>
      </c>
      <c r="K3" s="530" t="s">
        <v>365</v>
      </c>
      <c r="L3" s="199"/>
    </row>
    <row r="4" spans="1:12" s="148" customFormat="1" ht="19.5" customHeight="1">
      <c r="A4" s="530"/>
      <c r="B4" s="530"/>
      <c r="C4" s="530"/>
      <c r="D4" s="530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35"/>
      <c r="K4" s="530"/>
      <c r="L4" s="304"/>
    </row>
    <row r="5" spans="1:12" ht="17.25" customHeight="1">
      <c r="A5" s="499">
        <v>16</v>
      </c>
      <c r="B5" s="499" t="s">
        <v>111</v>
      </c>
      <c r="C5" s="501" t="s">
        <v>393</v>
      </c>
      <c r="D5" s="503">
        <v>41871</v>
      </c>
      <c r="E5" s="494">
        <v>2200000000</v>
      </c>
      <c r="F5" s="494">
        <f>2508700000</f>
        <v>2508700000</v>
      </c>
      <c r="G5" s="172">
        <f>IF(I5&gt;0,I5,0)</f>
        <v>752610000</v>
      </c>
      <c r="H5" s="494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99"/>
      <c r="B6" s="499"/>
      <c r="C6" s="502"/>
      <c r="D6" s="502"/>
      <c r="E6" s="495"/>
      <c r="F6" s="495"/>
      <c r="G6" s="172">
        <f t="shared" ref="G6:G16" si="0">IF(I6&gt;0,I6,0)</f>
        <v>0</v>
      </c>
      <c r="H6" s="495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99"/>
      <c r="B7" s="499"/>
      <c r="C7" s="502"/>
      <c r="D7" s="502"/>
      <c r="E7" s="495"/>
      <c r="F7" s="495"/>
      <c r="G7" s="172">
        <f t="shared" si="0"/>
        <v>500000000</v>
      </c>
      <c r="H7" s="495"/>
      <c r="I7" s="172">
        <v>500000000</v>
      </c>
      <c r="J7" s="173">
        <v>41942</v>
      </c>
      <c r="K7" s="325" t="s">
        <v>372</v>
      </c>
    </row>
    <row r="8" spans="1:12" ht="17.25" customHeight="1">
      <c r="A8" s="499"/>
      <c r="B8" s="499"/>
      <c r="C8" s="502"/>
      <c r="D8" s="502"/>
      <c r="E8" s="495"/>
      <c r="F8" s="495"/>
      <c r="G8" s="172">
        <f t="shared" si="0"/>
        <v>0</v>
      </c>
      <c r="H8" s="495"/>
      <c r="I8" s="185">
        <v>-100000000</v>
      </c>
      <c r="J8" s="186">
        <v>41951</v>
      </c>
      <c r="K8" s="187" t="s">
        <v>390</v>
      </c>
    </row>
    <row r="9" spans="1:12" ht="17.25" customHeight="1">
      <c r="A9" s="499"/>
      <c r="B9" s="499"/>
      <c r="C9" s="502"/>
      <c r="D9" s="502"/>
      <c r="E9" s="495"/>
      <c r="F9" s="495"/>
      <c r="G9" s="172">
        <f t="shared" si="0"/>
        <v>500000000</v>
      </c>
      <c r="H9" s="495"/>
      <c r="I9" s="172">
        <v>500000000</v>
      </c>
      <c r="J9" s="173">
        <v>42010</v>
      </c>
      <c r="K9" s="325" t="s">
        <v>372</v>
      </c>
    </row>
    <row r="10" spans="1:12" ht="17.25" customHeight="1">
      <c r="A10" s="499"/>
      <c r="B10" s="499"/>
      <c r="C10" s="502" t="s">
        <v>394</v>
      </c>
      <c r="D10" s="504">
        <v>42139</v>
      </c>
      <c r="E10" s="513">
        <f>308700000+501400000</f>
        <v>810100000</v>
      </c>
      <c r="F10" s="513">
        <f>184000000+317400000</f>
        <v>501400000</v>
      </c>
      <c r="G10" s="172">
        <f t="shared" si="0"/>
        <v>0</v>
      </c>
      <c r="H10" s="495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99"/>
      <c r="B11" s="499"/>
      <c r="C11" s="502"/>
      <c r="D11" s="504"/>
      <c r="E11" s="513"/>
      <c r="F11" s="513"/>
      <c r="G11" s="172">
        <f t="shared" si="0"/>
        <v>251000000</v>
      </c>
      <c r="H11" s="495"/>
      <c r="I11" s="172">
        <v>251000000</v>
      </c>
      <c r="J11" s="173">
        <v>42094</v>
      </c>
      <c r="K11" s="325" t="s">
        <v>372</v>
      </c>
    </row>
    <row r="12" spans="1:12" ht="17.25" customHeight="1">
      <c r="A12" s="499"/>
      <c r="B12" s="499"/>
      <c r="C12" s="502"/>
      <c r="D12" s="504"/>
      <c r="E12" s="513"/>
      <c r="F12" s="513"/>
      <c r="G12" s="172">
        <f t="shared" si="0"/>
        <v>200000000</v>
      </c>
      <c r="H12" s="495"/>
      <c r="I12" s="172">
        <v>200000000</v>
      </c>
      <c r="J12" s="173">
        <v>42170</v>
      </c>
      <c r="K12" s="325" t="s">
        <v>372</v>
      </c>
    </row>
    <row r="13" spans="1:12" ht="17.25" customHeight="1">
      <c r="A13" s="499"/>
      <c r="B13" s="499"/>
      <c r="C13" s="502"/>
      <c r="D13" s="504"/>
      <c r="E13" s="513"/>
      <c r="F13" s="513"/>
      <c r="G13" s="172">
        <f t="shared" si="0"/>
        <v>400000000</v>
      </c>
      <c r="H13" s="495"/>
      <c r="I13" s="172">
        <v>400000000</v>
      </c>
      <c r="J13" s="173">
        <v>42199</v>
      </c>
      <c r="K13" s="325" t="s">
        <v>372</v>
      </c>
    </row>
    <row r="14" spans="1:12" ht="17.25" customHeight="1">
      <c r="A14" s="499"/>
      <c r="B14" s="499"/>
      <c r="C14" s="502"/>
      <c r="D14" s="504"/>
      <c r="E14" s="513"/>
      <c r="F14" s="513"/>
      <c r="G14" s="172">
        <f t="shared" si="0"/>
        <v>0</v>
      </c>
      <c r="H14" s="495"/>
      <c r="I14" s="185">
        <v>-200000000</v>
      </c>
      <c r="J14" s="173">
        <v>42202</v>
      </c>
      <c r="K14" s="187" t="s">
        <v>390</v>
      </c>
    </row>
    <row r="15" spans="1:12" ht="17.25" customHeight="1">
      <c r="A15" s="499"/>
      <c r="B15" s="499"/>
      <c r="C15" s="502"/>
      <c r="D15" s="504"/>
      <c r="E15" s="513"/>
      <c r="F15" s="513"/>
      <c r="G15" s="172">
        <f t="shared" si="0"/>
        <v>0</v>
      </c>
      <c r="H15" s="495"/>
      <c r="I15" s="151"/>
      <c r="J15" s="173"/>
      <c r="K15" s="325"/>
    </row>
    <row r="16" spans="1:12" ht="17.25" customHeight="1">
      <c r="A16" s="499"/>
      <c r="B16" s="499"/>
      <c r="C16" s="502"/>
      <c r="D16" s="504"/>
      <c r="E16" s="513"/>
      <c r="F16" s="513"/>
      <c r="G16" s="172">
        <f t="shared" si="0"/>
        <v>0</v>
      </c>
      <c r="H16" s="495"/>
      <c r="I16" s="151"/>
      <c r="J16" s="324"/>
      <c r="K16" s="323"/>
    </row>
    <row r="17" spans="1:12" s="161" customFormat="1" ht="18" customHeight="1">
      <c r="A17" s="499"/>
      <c r="B17" s="499"/>
      <c r="C17" s="505" t="s">
        <v>94</v>
      </c>
      <c r="D17" s="506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99"/>
      <c r="B18" s="499"/>
      <c r="C18" s="505" t="s">
        <v>379</v>
      </c>
      <c r="D18" s="506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72" t="s">
        <v>747</v>
      </c>
      <c r="D19" s="572"/>
      <c r="E19" s="158">
        <f>F17-H17</f>
        <v>761400000</v>
      </c>
      <c r="G19" s="572" t="s">
        <v>748</v>
      </c>
      <c r="H19" s="572"/>
      <c r="I19" s="158">
        <f>E19*10%</f>
        <v>76140000</v>
      </c>
      <c r="J19" s="158"/>
      <c r="K19" s="158"/>
    </row>
    <row r="20" spans="1:12" ht="17.25" customHeight="1">
      <c r="C20" s="572" t="s">
        <v>748</v>
      </c>
      <c r="D20" s="572"/>
      <c r="E20" s="158">
        <f>E19*10%</f>
        <v>76140000</v>
      </c>
      <c r="G20" s="505" t="s">
        <v>379</v>
      </c>
      <c r="H20" s="506"/>
      <c r="I20" s="158">
        <f>I18+I19-J18</f>
        <v>208795000</v>
      </c>
      <c r="K20" s="202"/>
    </row>
  </sheetData>
  <autoFilter ref="A4:M18"/>
  <mergeCells count="27"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8"/>
    <mergeCell ref="B5:B18"/>
    <mergeCell ref="C5:C9"/>
    <mergeCell ref="D5:D9"/>
    <mergeCell ref="E5:E9"/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53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73" t="s">
        <v>889</v>
      </c>
      <c r="B2" s="581" t="s">
        <v>890</v>
      </c>
      <c r="C2" s="581" t="s">
        <v>80</v>
      </c>
      <c r="D2" s="580" t="s">
        <v>891</v>
      </c>
      <c r="E2" s="580"/>
      <c r="F2" s="580"/>
      <c r="G2" s="580" t="s">
        <v>892</v>
      </c>
      <c r="H2" s="580"/>
      <c r="I2" s="580"/>
      <c r="J2" s="580" t="s">
        <v>893</v>
      </c>
      <c r="K2" s="580"/>
      <c r="L2" s="580" t="s">
        <v>894</v>
      </c>
      <c r="M2" s="580"/>
      <c r="N2" s="581" t="s">
        <v>365</v>
      </c>
    </row>
    <row r="3" spans="1:14" s="327" customFormat="1" ht="32.25" customHeight="1">
      <c r="A3" s="573"/>
      <c r="B3" s="581"/>
      <c r="C3" s="581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81"/>
    </row>
    <row r="4" spans="1:14" s="327" customFormat="1" ht="32.25" customHeight="1">
      <c r="A4" s="582" t="s">
        <v>898</v>
      </c>
      <c r="B4" s="582"/>
      <c r="C4" s="582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73" t="s">
        <v>94</v>
      </c>
      <c r="B31" s="573"/>
      <c r="C31" s="573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83" t="s">
        <v>936</v>
      </c>
      <c r="B32" s="584"/>
      <c r="C32" s="585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73" t="s">
        <v>94</v>
      </c>
      <c r="B72" s="573"/>
      <c r="C72" s="573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73" t="s">
        <v>970</v>
      </c>
      <c r="B73" s="573"/>
      <c r="C73" s="573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73" t="s">
        <v>94</v>
      </c>
      <c r="B112" s="573"/>
      <c r="C112" s="573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73" t="s">
        <v>995</v>
      </c>
      <c r="B113" s="573"/>
      <c r="C113" s="573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73" t="s">
        <v>94</v>
      </c>
      <c r="B152" s="573"/>
      <c r="C152" s="573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73" t="s">
        <v>1007</v>
      </c>
      <c r="B153" s="573"/>
      <c r="C153" s="573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73" t="s">
        <v>94</v>
      </c>
      <c r="B180" s="573"/>
      <c r="C180" s="573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73" t="s">
        <v>1023</v>
      </c>
      <c r="B181" s="573"/>
      <c r="C181" s="573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73" t="s">
        <v>94</v>
      </c>
      <c r="B200" s="573"/>
      <c r="C200" s="573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73" t="s">
        <v>1033</v>
      </c>
      <c r="B201" s="573"/>
      <c r="C201" s="573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73" t="s">
        <v>94</v>
      </c>
      <c r="B214" s="573"/>
      <c r="C214" s="573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77" t="s">
        <v>1042</v>
      </c>
      <c r="B215" s="577"/>
      <c r="C215" s="577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78" t="s">
        <v>1043</v>
      </c>
      <c r="B216" s="578"/>
      <c r="C216" s="578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78" t="s">
        <v>1044</v>
      </c>
      <c r="B217" s="578"/>
      <c r="C217" s="578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78" t="s">
        <v>1045</v>
      </c>
      <c r="B218" s="578"/>
      <c r="C218" s="578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78" t="s">
        <v>1046</v>
      </c>
      <c r="B219" s="578"/>
      <c r="C219" s="578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79" t="s">
        <v>1047</v>
      </c>
      <c r="B220" s="579"/>
      <c r="C220" s="579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73" t="s">
        <v>94</v>
      </c>
      <c r="B221" s="573"/>
      <c r="C221" s="573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74" t="s">
        <v>1048</v>
      </c>
      <c r="B222" s="575"/>
      <c r="C222" s="576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73:C73"/>
    <mergeCell ref="A112:C112"/>
    <mergeCell ref="A113:C113"/>
    <mergeCell ref="A72:C72"/>
    <mergeCell ref="A2:A3"/>
    <mergeCell ref="B2:B3"/>
    <mergeCell ref="C2:C3"/>
    <mergeCell ref="A32:C32"/>
    <mergeCell ref="D2:F2"/>
    <mergeCell ref="L2:M2"/>
    <mergeCell ref="N2:N3"/>
    <mergeCell ref="A4:C4"/>
    <mergeCell ref="A31:C31"/>
    <mergeCell ref="G2:I2"/>
    <mergeCell ref="J2:K2"/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TH!Print_Titles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2017-10-03T07:19:13Z</cp:lastPrinted>
  <dcterms:created xsi:type="dcterms:W3CDTF">1996-10-14T23:33:28Z</dcterms:created>
  <dcterms:modified xsi:type="dcterms:W3CDTF">2017-10-03T07:33:06Z</dcterms:modified>
</cp:coreProperties>
</file>