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555" windowWidth="14820" windowHeight="826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TT'!$A$4:$M$187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TT'!$K$7:$K$255</definedName>
    <definedName name="DSTT1" localSheetId="6">'HOANG KIM'!$I$5:$I$18</definedName>
    <definedName name="DSTT1">'TH - TT'!$I$7:$I$256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TT'!$216:$227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5621"/>
</workbook>
</file>

<file path=xl/calcChain.xml><?xml version="1.0" encoding="utf-8"?>
<calcChain xmlns="http://schemas.openxmlformats.org/spreadsheetml/2006/main">
  <c r="G177" i="35" l="1"/>
  <c r="G178" i="35"/>
  <c r="G182" i="35"/>
  <c r="E31" i="40" l="1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7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I188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8" i="35" l="1"/>
  <c r="G216" i="35" l="1"/>
  <c r="G204" i="35"/>
  <c r="G205" i="35"/>
  <c r="G206" i="35"/>
  <c r="G207" i="35"/>
  <c r="G208" i="35"/>
  <c r="G209" i="35"/>
  <c r="G210" i="35"/>
  <c r="G211" i="35"/>
  <c r="G212" i="35"/>
  <c r="G213" i="35"/>
  <c r="G203" i="35"/>
  <c r="G198" i="35"/>
  <c r="G199" i="35"/>
  <c r="G200" i="35"/>
  <c r="G197" i="35"/>
  <c r="G191" i="35"/>
  <c r="G192" i="35"/>
  <c r="G193" i="35"/>
  <c r="G194" i="35"/>
  <c r="G190" i="35"/>
  <c r="G161" i="35"/>
  <c r="G162" i="35"/>
  <c r="G163" i="35"/>
  <c r="G164" i="35"/>
  <c r="G160" i="35"/>
  <c r="J27" i="40" l="1"/>
  <c r="H190" i="35"/>
  <c r="E190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6" i="35"/>
  <c r="J30" i="40" s="1"/>
  <c r="E19" i="40"/>
  <c r="A37" i="12"/>
  <c r="A38" i="12"/>
  <c r="A39" i="12"/>
  <c r="E29" i="40"/>
  <c r="F190" i="35"/>
  <c r="J23" i="40" l="1"/>
  <c r="G145" i="35"/>
  <c r="G244" i="35" l="1"/>
  <c r="G24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42" i="35"/>
  <c r="G246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7" i="35"/>
  <c r="G218" i="35"/>
  <c r="G219" i="35"/>
  <c r="G220" i="35"/>
  <c r="G221" i="35"/>
  <c r="G225" i="35"/>
  <c r="G229" i="35"/>
  <c r="G230" i="35"/>
  <c r="G231" i="35"/>
  <c r="G232" i="35"/>
  <c r="G233" i="35"/>
  <c r="G234" i="35"/>
  <c r="G235" i="35"/>
  <c r="G228" i="35"/>
  <c r="G239" i="35"/>
  <c r="G240" i="35"/>
  <c r="G241" i="35"/>
  <c r="G238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8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62" i="35"/>
  <c r="A769" i="34"/>
  <c r="B769" i="34"/>
  <c r="A770" i="34"/>
  <c r="B770" i="34"/>
  <c r="A750" i="34"/>
  <c r="B750" i="34"/>
  <c r="A773" i="34"/>
  <c r="B773" i="34"/>
  <c r="A774" i="34"/>
  <c r="B774" i="34"/>
  <c r="G251" i="35"/>
  <c r="H251" i="35" s="1"/>
  <c r="I251" i="35" s="1"/>
  <c r="G252" i="35"/>
  <c r="H252" i="35" s="1"/>
  <c r="I252" i="35" s="1"/>
  <c r="G253" i="35"/>
  <c r="H253" i="35" s="1"/>
  <c r="I253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7" i="35"/>
  <c r="F188" i="35"/>
  <c r="F98" i="35"/>
  <c r="F236" i="35"/>
  <c r="F226" i="35"/>
  <c r="F85" i="35"/>
  <c r="F91" i="35" s="1"/>
  <c r="F83" i="35"/>
  <c r="F214" i="35"/>
  <c r="F201" i="35"/>
  <c r="F195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8" i="35"/>
  <c r="K26" i="40"/>
  <c r="L26" i="40" s="1"/>
  <c r="G64" i="35"/>
  <c r="I64" i="35"/>
  <c r="E64" i="35"/>
  <c r="G65" i="35" l="1"/>
  <c r="F147" i="35"/>
  <c r="I65" i="35"/>
  <c r="C249" i="35"/>
  <c r="A1" i="35"/>
  <c r="C250" i="35"/>
  <c r="J250" i="35"/>
  <c r="J249" i="35"/>
  <c r="J251" i="35"/>
  <c r="J252" i="35"/>
  <c r="J253" i="35"/>
  <c r="I60" i="35" l="1"/>
  <c r="H60" i="35"/>
  <c r="G60" i="35"/>
  <c r="E60" i="35"/>
  <c r="B633" i="34"/>
  <c r="A14" i="12"/>
  <c r="A31" i="12"/>
  <c r="I247" i="35"/>
  <c r="K32" i="40" s="1"/>
  <c r="H247" i="35"/>
  <c r="G247" i="35"/>
  <c r="E247" i="35"/>
  <c r="I189" i="35"/>
  <c r="G189" i="35"/>
  <c r="I57" i="35"/>
  <c r="H57" i="35"/>
  <c r="G57" i="35"/>
  <c r="E57" i="35"/>
  <c r="I98" i="35"/>
  <c r="H98" i="35"/>
  <c r="G98" i="35"/>
  <c r="E98" i="35"/>
  <c r="I236" i="35"/>
  <c r="K31" i="40" s="1"/>
  <c r="L31" i="40" s="1"/>
  <c r="H236" i="35"/>
  <c r="G236" i="35"/>
  <c r="E236" i="35"/>
  <c r="I226" i="35"/>
  <c r="G226" i="35"/>
  <c r="E226" i="35"/>
  <c r="H91" i="35"/>
  <c r="I92" i="35" s="1"/>
  <c r="E91" i="35"/>
  <c r="I83" i="35"/>
  <c r="H83" i="35"/>
  <c r="G83" i="35"/>
  <c r="E83" i="35"/>
  <c r="I214" i="35"/>
  <c r="K29" i="40" s="1"/>
  <c r="L29" i="40" s="1"/>
  <c r="G214" i="35"/>
  <c r="E214" i="35"/>
  <c r="H203" i="35"/>
  <c r="H214" i="35" s="1"/>
  <c r="I201" i="35"/>
  <c r="K28" i="40" s="1"/>
  <c r="L28" i="40" s="1"/>
  <c r="H201" i="35"/>
  <c r="G201" i="35"/>
  <c r="E201" i="35"/>
  <c r="I195" i="35"/>
  <c r="K27" i="40" s="1"/>
  <c r="L27" i="40" s="1"/>
  <c r="H195" i="35"/>
  <c r="G195" i="35"/>
  <c r="E195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7" i="35"/>
  <c r="G227" i="35"/>
  <c r="I237" i="35"/>
  <c r="I99" i="35"/>
  <c r="G58" i="35"/>
  <c r="I58" i="35"/>
  <c r="I248" i="35"/>
  <c r="A633" i="34"/>
  <c r="G99" i="35"/>
  <c r="G215" i="35"/>
  <c r="I84" i="35"/>
  <c r="G237" i="35"/>
  <c r="G248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6" i="35"/>
  <c r="I196" i="35"/>
  <c r="G202" i="35"/>
  <c r="I202" i="35"/>
  <c r="I215" i="35"/>
  <c r="G84" i="35"/>
  <c r="G17" i="35"/>
  <c r="L30" i="40" l="1"/>
  <c r="K261" i="35"/>
  <c r="K262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I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49" i="35" a="1"/>
  <c r="F249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50" i="35" a="1"/>
  <c r="F250" i="35" s="1"/>
  <c r="G250" i="35" s="1"/>
  <c r="H250" i="35" s="1"/>
  <c r="I250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50" i="35" a="1"/>
  <c r="E250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49" i="35" a="1"/>
  <c r="E249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E254" i="35" l="1"/>
  <c r="E256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N39" i="40" s="1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49" i="35"/>
  <c r="F254" i="35"/>
  <c r="F256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61" i="35"/>
  <c r="M261" i="35" s="1"/>
  <c r="J37" i="14"/>
  <c r="H37" i="15"/>
  <c r="G37" i="15"/>
  <c r="G38" i="15" s="1"/>
  <c r="G35" i="15"/>
  <c r="E45" i="12"/>
  <c r="I28" i="15"/>
  <c r="H35" i="15"/>
  <c r="H18" i="15"/>
  <c r="I27" i="15"/>
  <c r="G28" i="15"/>
  <c r="K39" i="40" l="1"/>
  <c r="F46" i="15"/>
  <c r="H38" i="15"/>
  <c r="G23" i="15"/>
  <c r="G41" i="12"/>
  <c r="H41" i="12"/>
  <c r="E46" i="15"/>
  <c r="E48" i="15" s="1"/>
  <c r="H21" i="15"/>
  <c r="H23" i="15"/>
  <c r="H249" i="35"/>
  <c r="G254" i="35"/>
  <c r="G256" i="35" s="1"/>
  <c r="J39" i="40"/>
  <c r="L5" i="40"/>
  <c r="L39" i="40" s="1"/>
  <c r="I39" i="40"/>
  <c r="G21" i="15"/>
  <c r="F41" i="40"/>
  <c r="J38" i="14"/>
  <c r="I38" i="14"/>
  <c r="H46" i="15" l="1"/>
  <c r="G46" i="15"/>
  <c r="I249" i="35"/>
  <c r="H254" i="35"/>
  <c r="I39" i="14"/>
  <c r="J39" i="14"/>
  <c r="A741" i="34"/>
  <c r="H48" i="15" l="1"/>
  <c r="H256" i="35"/>
  <c r="I254" i="35"/>
  <c r="I256" i="35" s="1"/>
  <c r="K260" i="35"/>
  <c r="J40" i="14"/>
  <c r="I40" i="14"/>
  <c r="B741" i="34"/>
  <c r="I255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62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<sst xmlns="http://schemas.openxmlformats.org/spreadsheetml/2006/main" count="8994" uniqueCount="1447">
  <si>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</si>
  <si>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</si>
  <si>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</si>
  <si>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</si>
  <si>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</si>
  <si>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</si>
  <si>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</si>
  <si>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</si>
  <si>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</si>
  <si>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</si>
  <si>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</si>
  <si>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</si>
  <si>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</si>
  <si>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</si>
  <si>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</si>
  <si>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</si>
  <si>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</si>
  <si>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</si>
  <si>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</si>
  <si>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</si>
  <si>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</si>
  <si>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</si>
  <si>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</si>
  <si>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</si>
  <si>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</si>
  <si>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</si>
  <si>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</si>
  <si>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</si>
  <si>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</si>
  <si>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</si>
  <si>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</si>
  <si>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</si>
  <si>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</si>
  <si>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</si>
  <si>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</si>
  <si>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</si>
  <si>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</si>
  <si>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</si>
  <si>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</si>
  <si>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</si>
  <si>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</si>
  <si>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</si>
  <si>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</si>
  <si>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</si>
  <si>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</si>
  <si>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</si>
  <si>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</si>
  <si>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</si>
  <si>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</si>
  <si>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</si>
  <si>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</si>
  <si>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</si>
  <si>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</si>
  <si>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</si>
  <si>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</si>
  <si>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</si>
  <si>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</si>
  <si>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</si>
  <si>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</si>
  <si>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</si>
  <si>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</si>
  <si>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</si>
  <si>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</si>
  <si>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</si>
  <si>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</si>
  <si>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</si>
  <si>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</si>
  <si>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</si>
  <si>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</si>
  <si>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</si>
  <si>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</si>
  <si>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</si>
  <si>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</si>
  <si>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</si>
  <si>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</si>
  <si>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</si>
  <si>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</si>
  <si>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</si>
  <si>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</si>
  <si>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</si>
  <si>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</si>
  <si>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</si>
  <si>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</si>
  <si>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</si>
  <si>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</si>
  <si>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</si>
  <si>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</si>
  <si>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</si>
  <si>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</si>
  <si>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</si>
  <si>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</si>
  <si>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</si>
  <si>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</si>
  <si>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</si>
  <si>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</si>
  <si>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</si>
  <si>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</si>
  <si>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</si>
  <si>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</si>
  <si>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</si>
  <si>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</si>
  <si>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</si>
  <si>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</si>
  <si>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</si>
  <si>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</si>
  <si>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</si>
  <si>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</si>
  <si>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</si>
  <si>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</si>
  <si>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</si>
  <si>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</si>
  <si>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</si>
  <si>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</si>
  <si>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</si>
  <si>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</si>
  <si>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</si>
  <si>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</si>
  <si>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</si>
  <si>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</si>
  <si>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</si>
  <si>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</si>
  <si>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</si>
  <si>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</si>
  <si>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</si>
  <si>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</si>
  <si>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</si>
  <si>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</si>
  <si>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</si>
  <si>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</si>
  <si>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</si>
  <si>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</si>
  <si>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</si>
  <si>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</si>
  <si>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</si>
  <si>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</si>
  <si>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</si>
  <si>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</si>
  <si>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</si>
  <si>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</si>
  <si>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</si>
  <si>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</si>
  <si>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</si>
  <si>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</si>
  <si>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</si>
  <si>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</si>
  <si>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</si>
  <si>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</si>
  <si>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</si>
  <si>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</si>
  <si>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</si>
  <si>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</si>
  <si>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</si>
  <si>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</si>
  <si>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</si>
  <si>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</si>
  <si>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</si>
  <si>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</si>
  <si>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</si>
  <si>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</si>
  <si>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</si>
  <si>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</si>
  <si>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</si>
  <si>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</si>
  <si>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</si>
  <si>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</si>
  <si>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</si>
  <si>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</si>
  <si>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</si>
  <si>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</si>
  <si>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</si>
  <si>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</si>
  <si>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</si>
  <si>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</si>
  <si>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</si>
  <si>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</si>
  <si>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</si>
  <si>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</si>
  <si>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</si>
  <si>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</si>
  <si>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</si>
  <si>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</si>
  <si>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</si>
  <si>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</si>
  <si>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</si>
  <si>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</si>
  <si>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</si>
  <si>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</si>
  <si>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</si>
  <si>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</si>
  <si>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</si>
  <si>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</si>
  <si>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</si>
  <si>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</si>
  <si>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</si>
  <si>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</si>
  <si>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</si>
  <si>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</si>
  <si>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</si>
  <si>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</si>
  <si>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</si>
  <si>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</si>
  <si>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</si>
  <si>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</si>
  <si>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</si>
  <si>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</si>
  <si>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</si>
  <si>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</si>
  <si>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</si>
  <si>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</si>
  <si>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</si>
  <si>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</si>
  <si>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</si>
  <si>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</si>
  <si>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</si>
  <si>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</si>
  <si>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</si>
  <si>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</si>
  <si>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</si>
  <si>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</si>
  <si>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</si>
  <si>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</si>
  <si>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</si>
  <si>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</si>
  <si>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</si>
  <si>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</si>
  <si>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</si>
  <si>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</si>
  <si>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</si>
  <si>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</si>
  <si>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</si>
  <si>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</si>
  <si>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</si>
  <si>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</si>
  <si>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</si>
  <si>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</si>
  <si>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</si>
  <si>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</si>
  <si>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</si>
  <si>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</si>
  <si>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</si>
  <si>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</si>
  <si>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</si>
  <si>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</si>
  <si>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</si>
  <si>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</si>
  <si>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</si>
  <si>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</si>
  <si>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</si>
  <si>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</si>
  <si>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</si>
  <si>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</si>
  <si>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</si>
  <si>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</si>
  <si>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</si>
  <si>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</si>
  <si>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</si>
  <si>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</si>
  <si>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</si>
  <si>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</si>
  <si>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</si>
  <si>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</si>
  <si>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</si>
  <si>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</si>
  <si>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</si>
  <si>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</si>
  <si>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</si>
  <si>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</si>
  <si>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</si>
  <si>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</si>
  <si>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</si>
  <si>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</si>
  <si>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</si>
  <si>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</si>
  <si>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</si>
  <si>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</si>
  <si>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</si>
  <si>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</si>
  <si>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</si>
  <si>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</si>
  <si>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</si>
  <si>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</si>
  <si>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</si>
  <si>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</si>
  <si>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</si>
  <si>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</si>
  <si>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</si>
  <si>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</si>
  <si>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</si>
  <si>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</si>
  <si>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</si>
  <si>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</si>
  <si>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</si>
  <si>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</si>
  <si>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</si>
  <si>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</si>
  <si>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</si>
  <si>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</si>
  <si>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</si>
  <si>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</si>
  <si>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</si>
  <si>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</si>
  <si>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</si>
  <si>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</si>
  <si>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</si>
  <si>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</si>
  <si>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</si>
  <si>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</si>
  <si>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</si>
  <si>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</si>
  <si>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</si>
  <si>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</si>
  <si>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</si>
  <si>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</si>
  <si>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</si>
  <si>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</si>
  <si>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</si>
  <si>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</si>
  <si>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</si>
  <si>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</si>
  <si>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</si>
  <si>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</si>
  <si>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</si>
  <si>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</si>
  <si>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</si>
  <si>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</si>
  <si>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</si>
  <si>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</si>
  <si>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</si>
  <si>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</si>
  <si>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</si>
  <si>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</si>
  <si>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</si>
  <si>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</si>
  <si>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</si>
  <si>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</si>
  <si>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</si>
  <si>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</si>
  <si>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</si>
  <si>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</si>
  <si>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</si>
  <si>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</si>
  <si>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</si>
  <si>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</si>
  <si>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</si>
  <si>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</si>
  <si>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</si>
  <si>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</si>
  <si>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</si>
  <si>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</si>
  <si>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</si>
  <si>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</si>
  <si>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</si>
  <si>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</si>
  <si>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</si>
  <si>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</si>
  <si>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</si>
  <si>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</si>
  <si>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</si>
  <si>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</si>
  <si>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</si>
  <si>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</si>
  <si>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</si>
  <si>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</si>
  <si>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</si>
  <si>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</si>
  <si>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</si>
  <si>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</si>
  <si>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</si>
  <si>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</si>
  <si>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</si>
  <si>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</si>
  <si>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</si>
  <si>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</si>
  <si>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</si>
  <si>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</si>
  <si>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</si>
  <si>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</si>
  <si>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</si>
  <si>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</si>
  <si>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</si>
  <si>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</si>
  <si>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</si>
  <si>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</si>
  <si>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</si>
  <si>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</si>
  <si>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</si>
  <si>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</si>
  <si>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</si>
  <si>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</si>
  <si>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</si>
  <si>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</si>
  <si>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</si>
  <si>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</si>
  <si>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</si>
  <si>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</si>
  <si>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</si>
  <si>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</si>
  <si>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</si>
  <si>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</si>
  <si>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</si>
  <si>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</si>
  <si>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</si>
  <si>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</si>
  <si>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</si>
  <si>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</si>
  <si>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</si>
  <si>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</si>
  <si>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</si>
  <si>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</si>
  <si>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</si>
  <si>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</si>
  <si>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</si>
  <si>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</si>
  <si>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</si>
  <si>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</si>
  <si>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</si>
  <si>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</si>
  <si>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</si>
  <si>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</si>
  <si>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</si>
  <si>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</si>
  <si>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</si>
  <si>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</si>
  <si>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</si>
  <si>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</si>
  <si>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</si>
  <si>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</si>
  <si>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</si>
  <si>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</si>
  <si>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</si>
  <si>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</si>
  <si>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</si>
  <si>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</si>
  <si>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</si>
  <si>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</si>
  <si>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</si>
  <si>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</si>
  <si>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</si>
  <si>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</si>
  <si>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</si>
  <si>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</si>
  <si>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</si>
  <si>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</si>
  <si>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</si>
  <si>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</si>
  <si>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</si>
  <si>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</si>
  <si>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</si>
  <si>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</si>
  <si>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</si>
  <si>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</si>
  <si>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</si>
  <si>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</si>
  <si>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</si>
  <si>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</si>
  <si>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</si>
  <si>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</si>
  <si>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</si>
  <si>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</si>
  <si>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</si>
  <si>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</si>
  <si>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</si>
  <si>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</si>
  <si>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</si>
  <si>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</si>
  <si>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</si>
  <si>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</si>
  <si>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</si>
  <si>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</si>
  <si>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</si>
  <si>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</si>
  <si>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</si>
  <si>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</si>
  <si>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</si>
  <si>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</si>
  <si>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</si>
  <si>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</si>
  <si>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</si>
  <si>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</si>
  <si>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</si>
  <si>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</si>
  <si>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</si>
  <si>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</si>
  <si>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</si>
  <si>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</si>
  <si>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</si>
  <si>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</si>
  <si>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</si>
  <si>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</si>
  <si>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</si>
  <si>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</si>
  <si>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</si>
  <si>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</si>
  <si>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</si>
  <si>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</si>
  <si>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</si>
  <si>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</si>
  <si>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</si>
  <si>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</si>
  <si>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</si>
  <si>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</si>
  <si>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</si>
  <si>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</si>
  <si>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</si>
  <si>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</si>
  <si>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</si>
  <si>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</si>
  <si>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</si>
  <si>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</si>
  <si>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</si>
  <si>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</si>
  <si>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</si>
  <si>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</si>
  <si>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</si>
  <si>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</si>
  <si>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</si>
  <si>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</si>
  <si>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</si>
  <si>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</si>
  <si>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</si>
  <si>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</si>
  <si>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</si>
  <si>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</si>
  <si>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</si>
  <si>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</si>
  <si>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</si>
  <si>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</si>
  <si>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</si>
  <si>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</si>
  <si>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</si>
  <si>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</si>
  <si>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</si>
  <si>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</si>
  <si>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</si>
  <si>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</si>
  <si>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</si>
  <si>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</si>
  <si>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</si>
  <si>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</si>
  <si>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</si>
  <si>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</si>
  <si>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</si>
  <si>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</si>
  <si>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</si>
  <si>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</si>
  <si>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</si>
  <si>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</si>
  <si>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</si>
  <si>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</si>
  <si>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</si>
  <si>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</si>
  <si>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</si>
  <si>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</si>
  <si>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</si>
  <si>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</si>
  <si>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</si>
  <si>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</si>
  <si>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</si>
  <si>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</si>
  <si>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</si>
  <si>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</si>
  <si>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</si>
  <si>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</si>
  <si>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</si>
  <si>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</si>
  <si>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</si>
  <si>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</si>
  <si>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</si>
  <si>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</si>
  <si>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</si>
  <si>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</si>
  <si>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</si>
  <si>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</si>
  <si>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</si>
  <si>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</si>
  <si>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</si>
  <si>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</si>
  <si>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</si>
  <si>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</si>
  <si>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</si>
  <si>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</si>
  <si>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</si>
  <si>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</si>
  <si>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</si>
  <si>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</si>
  <si>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</si>
  <si>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</si>
  <si>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</si>
  <si>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</si>
  <si>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</si>
  <si>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</si>
  <si>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</si>
  <si>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</si>
  <si>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</si>
  <si>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</si>
  <si>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</si>
  <si>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</si>
  <si>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</si>
  <si>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</si>
  <si>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</si>
  <si>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</si>
  <si>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</si>
  <si>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</si>
  <si>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</si>
  <si>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</si>
  <si>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</si>
  <si>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</si>
  <si>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</si>
  <si>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</si>
  <si>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</si>
  <si>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</si>
  <si>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</si>
  <si>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</si>
  <si>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</si>
  <si>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</si>
  <si>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</si>
  <si>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</si>
  <si>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</si>
  <si>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</si>
  <si>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</si>
  <si>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</si>
  <si>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</si>
  <si>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</si>
  <si>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</si>
  <si>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</si>
  <si>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</si>
  <si>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</si>
  <si>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</si>
  <si>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</si>
  <si>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</si>
  <si>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</si>
  <si>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</si>
  <si>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</si>
  <si>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</si>
  <si>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</si>
  <si>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</si>
  <si>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</si>
  <si>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</si>
  <si>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</si>
  <si>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</si>
  <si>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</si>
  <si>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</si>
  <si>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</si>
  <si>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</si>
  <si>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</si>
  <si>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</si>
  <si>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</si>
  <si>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</si>
  <si>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</si>
  <si>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</si>
  <si>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</si>
  <si>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</si>
  <si>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</si>
  <si>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</si>
  <si>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</si>
  <si>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</si>
  <si>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</si>
  <si>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</si>
  <si>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</si>
  <si>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</si>
  <si>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</si>
  <si>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</si>
  <si>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</si>
  <si>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</si>
  <si>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</si>
  <si>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</si>
  <si>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</si>
  <si>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</si>
  <si>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</si>
  <si>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</si>
  <si>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</si>
  <si>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</si>
  <si>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</si>
  <si>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</si>
  <si>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</si>
  <si>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</si>
  <si>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</si>
  <si>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</si>
  <si>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</si>
  <si>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</si>
  <si>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</si>
  <si>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</si>
  <si>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</si>
  <si>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</si>
  <si>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</si>
  <si>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</si>
  <si>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</si>
  <si>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</si>
  <si>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</si>
  <si>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</si>
  <si>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</si>
  <si>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</si>
  <si>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</si>
  <si>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</si>
  <si>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</si>
  <si>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</si>
  <si>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</si>
  <si>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</si>
  <si>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</si>
  <si>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</si>
  <si>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</si>
  <si>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</si>
  <si>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</si>
  <si>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</si>
  <si>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</si>
  <si>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</si>
  <si>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</si>
  <si>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</si>
  <si>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</si>
  <si>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</si>
  <si>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</si>
  <si>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</si>
  <si>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</si>
  <si>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</si>
  <si>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</si>
  <si>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</si>
  <si>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</si>
  <si>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</si>
  <si>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</si>
  <si>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</si>
  <si>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</si>
  <si>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</si>
  <si>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</si>
  <si>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</si>
  <si>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</si>
  <si>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</si>
  <si>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</si>
  <si>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</si>
  <si>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</si>
  <si>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</si>
  <si>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</si>
  <si>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</si>
  <si>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</si>
  <si>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</si>
  <si>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</si>
  <si>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</si>
  <si>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</si>
  <si>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</si>
  <si>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</si>
  <si>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</si>
  <si>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</si>
  <si>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</si>
  <si>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</si>
  <si>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</si>
  <si>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</si>
  <si>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</si>
  <si>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</si>
  <si>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</si>
  <si>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</si>
  <si>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</si>
  <si>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</si>
  <si>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</si>
  <si>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</si>
  <si>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</si>
  <si>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</si>
  <si>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</si>
  <si>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</si>
  <si>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</si>
  <si>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</si>
  <si>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</si>
  <si>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</si>
  <si>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</si>
  <si>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</si>
  <si>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</si>
  <si>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</si>
  <si>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</si>
  <si>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</si>
  <si>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</si>
  <si>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</si>
  <si>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</si>
  <si>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</si>
  <si>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</si>
  <si>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</si>
  <si>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</si>
  <si>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</si>
  <si>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</si>
  <si>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</si>
  <si>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</si>
  <si>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</si>
  <si>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</si>
  <si>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</si>
  <si>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</si>
  <si>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</si>
  <si>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</si>
  <si>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</si>
  <si>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</si>
  <si>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</si>
  <si>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</si>
  <si>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</si>
  <si>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</si>
  <si>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</si>
  <si>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</si>
  <si>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</si>
  <si>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</si>
  <si>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</si>
  <si>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</si>
  <si>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</si>
  <si>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</si>
  <si>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</si>
  <si>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</si>
  <si>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</si>
  <si>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</si>
  <si>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</si>
  <si>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</si>
  <si>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</si>
  <si>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</si>
  <si>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</si>
  <si>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</si>
  <si>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</si>
  <si>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</si>
  <si>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</si>
  <si>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</si>
  <si>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</si>
  <si>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</si>
  <si>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</si>
  <si>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</si>
  <si>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</si>
  <si>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</si>
  <si>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</si>
  <si>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</si>
  <si>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</si>
  <si>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</si>
  <si>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</si>
  <si>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</si>
  <si>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</si>
  <si>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</si>
  <si>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</si>
  <si>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</si>
  <si>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</si>
  <si>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</si>
  <si>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</si>
  <si>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</si>
  <si>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</si>
  <si>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</si>
  <si>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</si>
  <si>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</si>
  <si>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</si>
  <si>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</si>
  <si>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</si>
  <si>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</si>
  <si>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</si>
  <si>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</si>
  <si>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</si>
  <si>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</si>
  <si>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</si>
  <si>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</si>
  <si>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</si>
  <si>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</si>
  <si>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</si>
  <si>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</si>
  <si>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</si>
  <si>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</si>
  <si>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</si>
  <si>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</si>
  <si>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</si>
  <si>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</si>
  <si>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</si>
  <si>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</si>
  <si>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</si>
  <si>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</si>
  <si>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</si>
  <si>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</si>
  <si>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</si>
  <si>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</si>
  <si>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</si>
  <si>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</si>
  <si>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</si>
  <si>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</si>
  <si>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</si>
  <si>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</si>
  <si>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</si>
  <si>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</si>
  <si>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</si>
  <si>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</si>
  <si>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</si>
  <si>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</si>
  <si>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</si>
  <si>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</si>
  <si>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</si>
  <si>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</si>
  <si>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</si>
  <si>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</si>
  <si>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</si>
  <si>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</si>
  <si>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</si>
  <si>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</si>
  <si>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</si>
  <si>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</si>
  <si>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</si>
  <si>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</si>
  <si>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</si>
  <si>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</si>
  <si>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</si>
  <si>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</si>
  <si>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</si>
  <si>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</si>
  <si>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</si>
  <si>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</si>
  <si>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</si>
  <si>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</si>
  <si>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</si>
  <si>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</si>
  <si>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</si>
  <si>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</si>
  <si>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</si>
  <si>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</si>
  <si>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</si>
  <si>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</si>
  <si>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</si>
  <si>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</si>
  <si>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</si>
  <si>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</si>
  <si>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</si>
  <si>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</si>
  <si>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</si>
  <si>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</si>
  <si>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</si>
  <si>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</si>
  <si>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</si>
  <si>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</si>
  <si>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</si>
  <si>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</si>
  <si>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</si>
  <si>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</si>
  <si>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</si>
  <si>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</si>
  <si>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</si>
  <si>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</si>
  <si>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</si>
  <si>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</si>
  <si>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</si>
  <si>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</si>
  <si>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</si>
  <si>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</si>
  <si>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</si>
  <si>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</si>
  <si>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</si>
  <si>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</si>
  <si>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</si>
  <si>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</si>
  <si>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</si>
  <si>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</si>
  <si>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</si>
  <si>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</si>
  <si>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</si>
  <si>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</si>
  <si>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</si>
  <si>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</si>
  <si>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</si>
  <si>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</si>
  <si>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</si>
  <si>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</si>
  <si>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</si>
  <si>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</si>
  <si>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</si>
  <si>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</si>
  <si>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</si>
  <si>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</si>
  <si>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</si>
  <si>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</si>
  <si>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</si>
  <si>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</si>
  <si>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</si>
  <si>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</si>
  <si>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</si>
  <si>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</si>
  <si>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</si>
  <si>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</si>
  <si>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</si>
  <si>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</si>
  <si>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</si>
  <si>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</si>
  <si>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</si>
  <si>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</si>
  <si>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</si>
  <si>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</si>
  <si>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</si>
  <si>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</si>
  <si>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</si>
  <si>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</si>
  <si>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</si>
  <si>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</si>
  <si>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</si>
  <si>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</si>
  <si>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</si>
  <si>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</si>
  <si>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</si>
  <si>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</si>
  <si>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</si>
  <si>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</si>
  <si>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</si>
  <si>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</si>
  <si>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</si>
  <si>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</si>
  <si>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</si>
  <si>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</si>
  <si>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</si>
  <si>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</si>
  <si>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</si>
  <si>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</si>
  <si>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</si>
  <si>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</si>
  <si>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</si>
  <si>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</si>
  <si>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</si>
  <si>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</si>
  <si>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</si>
  <si>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</si>
  <si>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</si>
  <si>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</si>
  <si>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</si>
  <si>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</si>
  <si>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</si>
  <si>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</si>
  <si>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</si>
  <si>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</si>
  <si>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</si>
  <si>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</si>
  <si>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</si>
  <si>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</si>
  <si>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</si>
  <si>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</si>
  <si>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</si>
  <si>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</si>
  <si>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</si>
  <si>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</si>
  <si>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</si>
  <si>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</si>
  <si>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</si>
  <si>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</si>
  <si>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</si>
  <si>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</si>
  <si>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</si>
  <si>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</si>
  <si>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</si>
  <si>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</si>
  <si>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</si>
  <si>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</si>
  <si>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</si>
  <si>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</si>
  <si>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</si>
  <si>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</si>
  <si>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</si>
  <si>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</si>
  <si>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</si>
  <si>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</si>
  <si>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</si>
  <si>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</si>
  <si>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</si>
  <si>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</si>
  <si>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</si>
  <si>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</si>
  <si>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</si>
  <si>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</si>
  <si>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</si>
  <si>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</si>
  <si>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</si>
  <si>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</si>
  <si>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</si>
  <si>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</si>
  <si>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</si>
  <si>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</si>
  <si>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</si>
  <si>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</si>
  <si>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</si>
  <si>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</si>
  <si>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</si>
  <si>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</si>
  <si>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</si>
  <si>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</si>
  <si>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</si>
  <si>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</si>
  <si>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</si>
  <si>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</si>
  <si>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</si>
  <si>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</si>
  <si>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</si>
  <si>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</si>
  <si>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</si>
  <si>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</si>
  <si>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</si>
  <si>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</si>
  <si>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</si>
  <si>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</si>
  <si>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</si>
  <si>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</si>
  <si>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</si>
  <si>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</si>
  <si>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</si>
  <si>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</si>
  <si>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</si>
  <si>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</si>
  <si>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</si>
  <si>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</si>
  <si>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</si>
  <si>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</si>
  <si>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</si>
  <si>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</si>
  <si>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</si>
  <si>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</si>
  <si>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</si>
  <si>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</si>
  <si>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</si>
  <si>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</si>
  <si>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</si>
  <si>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</si>
  <si>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</si>
  <si>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</si>
  <si>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</si>
  <si>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</si>
  <si>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</si>
  <si>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</si>
  <si>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</si>
  <si>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</si>
  <si>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</si>
  <si>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</si>
  <si>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</si>
  <si>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</si>
  <si>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</si>
  <si>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</si>
  <si>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</si>
  <si>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</si>
  <si>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</si>
  <si>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</si>
  <si>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</si>
  <si>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</si>
  <si>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</si>
  <si>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</si>
  <si>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</si>
  <si>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</si>
  <si>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</si>
  <si>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</si>
  <si>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</si>
  <si>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</si>
  <si>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</si>
  <si>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</si>
  <si>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</si>
  <si>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</si>
  <si>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</si>
  <si>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</si>
  <si>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</si>
  <si>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</si>
  <si>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</si>
  <si>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</si>
  <si>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</si>
  <si>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</si>
  <si>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</si>
  <si>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</si>
  <si>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</si>
  <si>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</si>
  <si>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</si>
  <si>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</si>
  <si>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</si>
  <si>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</si>
  <si>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</si>
  <si>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</si>
  <si>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</si>
  <si>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</si>
  <si>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</si>
  <si>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</si>
  <si>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</si>
  <si>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</si>
  <si>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</si>
  <si>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</si>
  <si>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</si>
  <si>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</si>
  <si>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</si>
  <si>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</si>
  <si>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</si>
  <si>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</si>
  <si>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</si>
  <si>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</si>
  <si>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</si>
  <si>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</si>
  <si>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</si>
  <si>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</si>
  <si>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</si>
  <si>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</si>
  <si>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</si>
  <si>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</si>
  <si>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</si>
  <si>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</si>
  <si>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</si>
  <si>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</si>
  <si>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</si>
  <si>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</si>
  <si>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</si>
  <si>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</si>
  <si>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</si>
  <si>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</si>
  <si>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</si>
  <si>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</si>
  <si>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</si>
  <si>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</si>
  <si>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</si>
  <si>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</si>
  <si>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</si>
  <si>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</si>
  <si>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</si>
  <si>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</si>
  <si>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</si>
  <si>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</si>
  <si>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</si>
  <si>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</si>
  <si>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</si>
  <si>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</si>
  <si>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</si>
  <si>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</si>
  <si>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</si>
  <si>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</si>
  <si>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</si>
  <si>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</si>
  <si>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</si>
  <si>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</si>
  <si>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</si>
  <si>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</si>
  <si>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</si>
  <si>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</si>
  <si>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</si>
  <si>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</si>
  <si>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</si>
  <si>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</si>
  <si>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</si>
  <si>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</si>
  <si>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</si>
  <si>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</si>
  <si>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</si>
  <si>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</si>
  <si>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</si>
  <si>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</si>
  <si>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</si>
  <si>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</si>
  <si>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</si>
  <si>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</si>
  <si>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</si>
  <si>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</si>
  <si>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</si>
  <si>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</si>
  <si>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</si>
  <si>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</si>
  <si>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</si>
  <si>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</si>
  <si>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</si>
  <si>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</si>
  <si>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</si>
  <si>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</si>
  <si>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</si>
  <si>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</si>
  <si>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</si>
  <si>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</si>
  <si>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</si>
  <si>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</si>
  <si>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</si>
  <si>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</si>
  <si>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</si>
  <si>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</si>
  <si>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</si>
  <si>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</si>
  <si>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</si>
  <si>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</si>
  <si>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</si>
  <si>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</si>
  <si>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</si>
  <si>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</si>
  <si>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</si>
  <si>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</si>
  <si>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</si>
  <si>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</si>
  <si>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</si>
  <si>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</si>
  <si>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</si>
  <si>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</si>
  <si>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</si>
  <si>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</si>
  <si>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</si>
  <si>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</si>
  <si>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</si>
  <si>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</si>
  <si>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</si>
  <si>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</si>
  <si>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</si>
  <si>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</si>
  <si>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</si>
  <si>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</si>
  <si>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</si>
  <si>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</si>
  <si>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</si>
  <si>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</si>
  <si>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</si>
  <si>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</si>
  <si>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</si>
  <si>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</si>
  <si>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</si>
  <si>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</si>
  <si>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</si>
  <si>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</si>
  <si>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</si>
  <si>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</si>
  <si>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</si>
  <si>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</si>
  <si>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</si>
  <si>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</si>
  <si>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</si>
  <si>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</si>
  <si>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</si>
  <si>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</si>
  <si>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</si>
  <si>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</si>
  <si>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</si>
  <si>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</si>
  <si>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</si>
  <si>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</si>
  <si>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</si>
  <si>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</si>
  <si>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</si>
  <si>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</si>
  <si>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</si>
  <si>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</si>
  <si>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</si>
  <si>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</si>
  <si>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</si>
  <si>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</si>
  <si>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</si>
  <si>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</si>
  <si>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</si>
  <si>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</si>
  <si>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</si>
  <si>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</si>
  <si>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</si>
  <si>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</si>
  <si>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</si>
  <si>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</si>
  <si>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</si>
  <si>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</si>
  <si>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</si>
  <si>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</si>
  <si>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</si>
  <si>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</si>
  <si>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</si>
  <si>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</si>
  <si>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</si>
  <si>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</si>
  <si>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</si>
  <si>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</si>
  <si>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</si>
  <si>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</si>
  <si>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</si>
  <si>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</si>
  <si>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</si>
  <si>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</si>
  <si>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</si>
  <si>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</si>
  <si>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</si>
  <si>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</si>
  <si>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</si>
  <si>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</si>
  <si>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</si>
  <si>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</si>
  <si>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</si>
  <si>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</si>
  <si>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</si>
  <si>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</si>
  <si>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</si>
  <si>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</si>
  <si>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</si>
  <si>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</si>
  <si>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</si>
  <si>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</si>
  <si>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</si>
  <si>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</si>
  <si>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</si>
  <si>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</si>
  <si>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</si>
  <si>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</si>
  <si>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</si>
  <si>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</si>
  <si>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</si>
  <si>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</si>
  <si>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</si>
  <si>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</si>
  <si>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</si>
  <si>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</si>
  <si>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</si>
  <si>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</si>
  <si>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</si>
  <si>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</si>
  <si>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</si>
  <si>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</si>
  <si>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</si>
  <si>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</si>
  <si>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</si>
  <si>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</si>
  <si>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</si>
  <si>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</si>
  <si>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</si>
  <si>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</si>
  <si>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</si>
  <si>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</si>
  <si>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</si>
  <si>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</si>
  <si>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</si>
  <si>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</si>
  <si>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</si>
  <si>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</si>
  <si>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</si>
  <si>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</si>
  <si>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</si>
  <si>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</si>
  <si>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</si>
  <si>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</si>
  <si>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</si>
  <si>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</si>
  <si>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</si>
  <si>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</si>
  <si>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</si>
  <si>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</si>
  <si>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</si>
  <si>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</si>
  <si>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</si>
  <si>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</si>
  <si>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</si>
  <si>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</si>
  <si>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AL - Q4</t>
  </si>
  <si>
    <t>Hoàn vốn AL - Q11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</si>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</sst>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3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15480000000</v>
      </c>
      <c r="F10" s="51">
        <f t="array" ref="F10">SUM(IF(A10=KHC,TH))</f>
        <v>14707903586</v>
      </c>
      <c r="G10" s="52">
        <f>MAX(C10+E10-D10-F10,0)</f>
        <v>772096414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15480000000</v>
      </c>
      <c r="F11" s="56">
        <f>F10</f>
        <v>14707903586</v>
      </c>
      <c r="G11" s="56">
        <f>G10</f>
        <v>772096414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39044241743</v>
      </c>
      <c r="F12" s="51">
        <f t="array" ref="F12">SUM(IF(A12=KHC,TH))</f>
        <v>39041936798</v>
      </c>
      <c r="G12" s="52">
        <f>MAX(C12+E12-D12-F12,0)</f>
        <v>2304945</v>
      </c>
      <c r="H12" s="52">
        <f>MAX(D12+F12-E12-C12,0)</f>
        <v>0</v>
      </c>
      <c r="K12" s="53"/>
      <c r="L12" s="53"/>
    </row>
    <row r="13" spans="1:12" s="40" customFormat="1">
      <c r="A13" s="57" t="s">
        <v>1242</v>
      </c>
      <c r="B13" s="50" t="s">
        <v>1243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41007081743</v>
      </c>
      <c r="F14" s="56">
        <f t="shared" ref="F14:H14" si="0">F12+F13</f>
        <v>41004776798</v>
      </c>
      <c r="G14" s="56">
        <f t="shared" si="0"/>
        <v>2304945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2955191799</v>
      </c>
      <c r="F15" s="51">
        <f t="array" ref="F15">SUM(IF(A15=KHC,TH))</f>
        <v>1678844208</v>
      </c>
      <c r="G15" s="52">
        <f>MAX(C15+E15-D15-F15,0)</f>
        <v>1276347591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2955191799</v>
      </c>
      <c r="F16" s="56">
        <f>F15</f>
        <v>1678844208</v>
      </c>
      <c r="G16" s="56">
        <f>G15</f>
        <v>1276347591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4369421193</v>
      </c>
      <c r="F17" s="51">
        <f t="array" ref="F17">SUM(IF(A17=KHC,TH))</f>
        <v>4369421193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4369421193</v>
      </c>
      <c r="F18" s="56">
        <f>F17</f>
        <v>4369421193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1305</v>
      </c>
      <c r="B19" s="50" t="s">
        <v>1306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1263</v>
      </c>
      <c r="B20" s="50" t="s">
        <v>1307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1308</v>
      </c>
      <c r="B21" s="55" t="s">
        <v>1309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31356273699</v>
      </c>
      <c r="F22" s="51">
        <f t="array" ref="F22">SUM(IF(A22=KHC,TH))</f>
        <v>0</v>
      </c>
      <c r="G22" s="52">
        <f t="shared" si="1"/>
        <v>31356273699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31356273699</v>
      </c>
      <c r="F23" s="56">
        <f>F22</f>
        <v>0</v>
      </c>
      <c r="G23" s="56">
        <f t="shared" si="1"/>
        <v>31356273699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29661508134</v>
      </c>
      <c r="F24" s="139">
        <f t="array" ref="F24">SUM(IF(A24=KHC,TH))</f>
        <v>31258355565</v>
      </c>
      <c r="G24" s="56">
        <f t="shared" si="1"/>
        <v>0</v>
      </c>
      <c r="H24" s="56">
        <f t="shared" si="2"/>
        <v>1596847431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1444500000</v>
      </c>
      <c r="F29" s="51">
        <f t="array" ref="F29">SUM(IF(A29=KHC,TH))</f>
        <v>8444500000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1444500000</v>
      </c>
      <c r="F30" s="56">
        <f>F29</f>
        <v>8444500000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1240</v>
      </c>
      <c r="C31" s="51"/>
      <c r="D31" s="51"/>
      <c r="E31" s="51">
        <f t="array" ref="E31">SUM(IF(A31=KHN,TH))</f>
        <v>1982640000</v>
      </c>
      <c r="F31" s="51">
        <f t="array" ref="F31">SUM(IF(A31=KHC,TH))</f>
        <v>21961520000</v>
      </c>
      <c r="G31" s="52">
        <f>MAX(C31+E31-D31-F31,0)</f>
        <v>0</v>
      </c>
      <c r="H31" s="52">
        <f>MAX(D31+F31-E31-C31,0)</f>
        <v>19978880000</v>
      </c>
    </row>
    <row r="32" spans="1:11" s="40" customFormat="1">
      <c r="A32" s="49" t="s">
        <v>1239</v>
      </c>
      <c r="B32" s="50" t="s">
        <v>1241</v>
      </c>
      <c r="C32" s="51"/>
      <c r="D32" s="51"/>
      <c r="E32" s="51">
        <f t="array" ref="E32">SUM(IF(A32=KHN,TH))</f>
        <v>0</v>
      </c>
      <c r="F32" s="51">
        <f t="array" ref="F32">SUM(IF(A32=KHC,TH))</f>
        <v>1982640000</v>
      </c>
      <c r="G32" s="52">
        <f>MAX(C32+E32-D32-F32,0)</f>
        <v>0</v>
      </c>
      <c r="H32" s="52">
        <f>MAX(D32+F32-E32-C32,0)</f>
        <v>1982640000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1114144782</v>
      </c>
      <c r="F37" s="51">
        <f t="array" ref="F37">SUM(IF(A37=TH!$O$10:$O$1825,TH!$M$10:$M$1825))</f>
        <v>0</v>
      </c>
      <c r="G37" s="51">
        <f>MAX(C37+E37-D37-F37,0)</f>
        <v>1114144782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1114144782</v>
      </c>
      <c r="F38" s="56">
        <f>F37+F36</f>
        <v>0</v>
      </c>
      <c r="G38" s="56">
        <f>G37+G36</f>
        <v>1114144782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21760550</v>
      </c>
      <c r="F39" s="139">
        <f t="array" ref="F39">SUM(IF(A39=KHC,TH))</f>
        <v>21760550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2538315624</v>
      </c>
      <c r="F40" s="139">
        <f t="array" ref="F40">SUM(IF(A40=KHC,TH))</f>
        <v>2538315624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1106885332</v>
      </c>
      <c r="F41" s="139">
        <f t="array" ref="F41">SUM(IF(A41=KHC,TH))</f>
        <v>1106885332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1136805332</v>
      </c>
      <c r="F45" s="140">
        <f t="array" ref="F45">SUM(IF(A45=TH!$O$10:$O$1825,TH!$M$10:$M$1825))</f>
        <v>1136805332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134255298188</v>
      </c>
      <c r="F46" s="62">
        <f t="shared" si="6"/>
        <v>134255298188</v>
      </c>
      <c r="G46" s="62">
        <f t="shared" si="6"/>
        <v>34558367431</v>
      </c>
      <c r="H46" s="62">
        <f t="shared" si="6"/>
        <v>34558367431</v>
      </c>
    </row>
    <row r="47" spans="1:9">
      <c r="E47" s="63"/>
      <c r="F47" s="64"/>
    </row>
    <row r="48" spans="1:9">
      <c r="E48" s="64">
        <f>E46-F46</f>
        <v>0</v>
      </c>
      <c r="H48" s="64">
        <f>G46-H46</f>
        <v>0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533" workbookViewId="0">
      <selection activeCell="F1556" sqref="F1556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55" t="s">
        <v>252</v>
      </c>
      <c r="D4" s="455"/>
      <c r="E4" s="455"/>
      <c r="F4" s="455"/>
      <c r="G4" s="455"/>
      <c r="H4" s="455"/>
      <c r="I4" s="455"/>
      <c r="J4" s="455"/>
      <c r="K4" s="455"/>
      <c r="L4" s="455"/>
      <c r="M4" s="455"/>
      <c r="N4" s="455"/>
      <c r="O4" s="455"/>
    </row>
    <row r="5" spans="1:16" ht="14.25" hidden="1">
      <c r="A5" s="106"/>
      <c r="B5" s="106"/>
      <c r="C5" s="456"/>
      <c r="D5" s="456"/>
      <c r="E5" s="456"/>
      <c r="F5" s="456"/>
      <c r="G5" s="456"/>
      <c r="H5" s="456"/>
      <c r="I5" s="456"/>
      <c r="J5" s="456"/>
      <c r="K5" s="456"/>
      <c r="L5" s="456"/>
      <c r="M5" s="456"/>
      <c r="N5" s="456"/>
      <c r="O5" s="456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66" t="s">
        <v>264</v>
      </c>
      <c r="B7" s="466" t="s">
        <v>265</v>
      </c>
      <c r="C7" s="457" t="s">
        <v>50</v>
      </c>
      <c r="D7" s="458" t="s">
        <v>10</v>
      </c>
      <c r="E7" s="459"/>
      <c r="F7" s="457" t="s">
        <v>0</v>
      </c>
      <c r="G7" s="461" t="s">
        <v>511</v>
      </c>
      <c r="H7" s="468" t="s">
        <v>184</v>
      </c>
      <c r="I7" s="434"/>
      <c r="J7" s="434"/>
      <c r="K7" s="434"/>
      <c r="L7" s="434"/>
      <c r="M7" s="457" t="s">
        <v>253</v>
      </c>
      <c r="N7" s="460" t="s">
        <v>254</v>
      </c>
      <c r="O7" s="460"/>
      <c r="P7" s="460">
        <v>331</v>
      </c>
    </row>
    <row r="8" spans="1:16" ht="25.5">
      <c r="A8" s="467"/>
      <c r="B8" s="467"/>
      <c r="C8" s="457"/>
      <c r="D8" s="104" t="s">
        <v>32</v>
      </c>
      <c r="E8" s="102" t="s">
        <v>70</v>
      </c>
      <c r="F8" s="457"/>
      <c r="G8" s="462"/>
      <c r="H8" s="468"/>
      <c r="I8" s="434"/>
      <c r="J8" s="434"/>
      <c r="K8" s="434"/>
      <c r="L8" s="434"/>
      <c r="M8" s="457"/>
      <c r="N8" s="105" t="s">
        <v>52</v>
      </c>
      <c r="O8" s="105" t="s">
        <v>53</v>
      </c>
      <c r="P8" s="460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1114144782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2538315624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1106885332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21760550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6"/>
      <c r="J101" s="436"/>
      <c r="K101" s="436"/>
      <c r="L101" s="436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6"/>
      <c r="J103" s="436"/>
      <c r="K103" s="436"/>
      <c r="L103" s="436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>x</v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>x</v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>x</v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>x</v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/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>x</v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/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>x</v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>x</v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>x</v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/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/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>x</v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>x</v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>x</v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>x</v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1239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>x</v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19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19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1244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1244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1244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19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19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1244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1244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1244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19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19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1244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1244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1244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1244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19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19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1244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1244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19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19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19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19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1244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1244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1244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1244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1244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1244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1244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1244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1244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1244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1244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1244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1244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1244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1244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1244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1216</v>
      </c>
      <c r="G1234" s="265" t="s">
        <v>1217</v>
      </c>
      <c r="H1234" s="122" t="s">
        <v>1212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1244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1244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1244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1244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1244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1244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1244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1244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1244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1244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122"/>
      <c r="J1246" s="122"/>
      <c r="K1246" s="122"/>
      <c r="L1246" s="122"/>
      <c r="M1246" s="74">
        <v>145455</v>
      </c>
      <c r="N1246" s="75" t="s">
        <v>19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1244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1244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1244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1244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1244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1244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1244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1244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1244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1244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1244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1244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1244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1244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1244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1244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 t="s">
        <v>1244</v>
      </c>
      <c r="H1264" s="122" t="s">
        <v>1201</v>
      </c>
      <c r="I1264" s="122"/>
      <c r="J1264" s="122"/>
      <c r="K1264" s="122"/>
      <c r="L1264" s="122"/>
      <c r="M1264" s="74">
        <v>110000000</v>
      </c>
      <c r="N1264" s="75" t="s">
        <v>212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212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1244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1244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1244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1244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1244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1244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1244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1244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1244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1244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1244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1244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1244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1244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1244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1244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1244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1244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 t="s">
        <v>1244</v>
      </c>
      <c r="H1288" s="122" t="s">
        <v>1201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212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122"/>
      <c r="J1289" s="122"/>
      <c r="K1289" s="122"/>
      <c r="L1289" s="122"/>
      <c r="M1289" s="74">
        <v>5000000</v>
      </c>
      <c r="N1289" s="75" t="s">
        <v>212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1244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 t="s">
        <v>1245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 t="s">
        <v>1245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1246</v>
      </c>
      <c r="G1293" s="265" t="s">
        <v>564</v>
      </c>
      <c r="H1293" s="122" t="s">
        <v>1238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1247</v>
      </c>
      <c r="G1294" s="265" t="s">
        <v>564</v>
      </c>
      <c r="H1294" s="122" t="s">
        <v>1238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1248</v>
      </c>
      <c r="G1295" s="265" t="s">
        <v>1249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1250</v>
      </c>
      <c r="G1296" s="265" t="s">
        <v>1249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1244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1229</v>
      </c>
      <c r="G1298" s="265" t="s">
        <v>1244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1244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1244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1251</v>
      </c>
      <c r="G1301" s="265" t="s">
        <v>1244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1252</v>
      </c>
      <c r="G1302" s="265" t="s">
        <v>1244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1253</v>
      </c>
      <c r="G1303" s="265" t="s">
        <v>1254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1255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1256</v>
      </c>
      <c r="G1305" s="265" t="s">
        <v>1257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1258</v>
      </c>
      <c r="G1306" s="265" t="s">
        <v>1257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1259</v>
      </c>
      <c r="E1307" s="73">
        <v>42441</v>
      </c>
      <c r="F1307" s="76" t="s">
        <v>1260</v>
      </c>
      <c r="G1307" s="265" t="s">
        <v>1261</v>
      </c>
      <c r="H1307" s="122" t="s">
        <v>1262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1263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1259</v>
      </c>
      <c r="E1308" s="73">
        <v>42441</v>
      </c>
      <c r="F1308" s="76" t="s">
        <v>1264</v>
      </c>
      <c r="G1308" s="265" t="s">
        <v>1261</v>
      </c>
      <c r="H1308" s="122" t="s">
        <v>1262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1263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1259</v>
      </c>
      <c r="E1309" s="73">
        <v>42441</v>
      </c>
      <c r="F1309" s="76" t="s">
        <v>1265</v>
      </c>
      <c r="G1309" s="265" t="s">
        <v>1261</v>
      </c>
      <c r="H1309" s="122" t="s">
        <v>1262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1225</v>
      </c>
      <c r="G1310" s="265" t="s">
        <v>1266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1227</v>
      </c>
      <c r="G1311" s="265" t="s">
        <v>1266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1267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1268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1244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1244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1269</v>
      </c>
      <c r="G1316" s="265" t="s">
        <v>1244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1244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1244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1244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1244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1244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1244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1244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1244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1244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1270</v>
      </c>
      <c r="G1326" s="265" t="s">
        <v>1244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1244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1244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1244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1244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1271</v>
      </c>
      <c r="G1331" s="265" t="s">
        <v>1244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1244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1244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1244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1244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1244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1244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1244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1244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1244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1244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1244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1244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1244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1244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1244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1244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1244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1244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1200</v>
      </c>
      <c r="G1350" s="265" t="s">
        <v>1244</v>
      </c>
      <c r="H1350" s="122" t="s">
        <v>1201</v>
      </c>
      <c r="I1350" s="122"/>
      <c r="J1350" s="122"/>
      <c r="K1350" s="122"/>
      <c r="L1350" s="122"/>
      <c r="M1350" s="74">
        <v>50000000</v>
      </c>
      <c r="N1350" s="75" t="s">
        <v>212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1272</v>
      </c>
      <c r="G1351" s="265"/>
      <c r="H1351" s="122" t="s">
        <v>1201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212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1273</v>
      </c>
      <c r="G1352" s="265" t="s">
        <v>1274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1275</v>
      </c>
      <c r="G1353" s="265" t="s">
        <v>1274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1276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1277</v>
      </c>
      <c r="G1355" s="265" t="s">
        <v>1278</v>
      </c>
      <c r="H1355" s="122" t="s">
        <v>1279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1280</v>
      </c>
      <c r="G1356" s="265" t="s">
        <v>1281</v>
      </c>
      <c r="H1356" s="122" t="s">
        <v>1282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1283</v>
      </c>
      <c r="G1357" s="265" t="s">
        <v>1281</v>
      </c>
      <c r="H1357" s="122" t="s">
        <v>1282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1269</v>
      </c>
      <c r="G1358" s="265" t="s">
        <v>1284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1285</v>
      </c>
      <c r="G1359" s="265" t="s">
        <v>1284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1286</v>
      </c>
      <c r="G1360" s="265" t="s">
        <v>1287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1288</v>
      </c>
      <c r="G1361" s="265" t="s">
        <v>1287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1289</v>
      </c>
      <c r="G1362" s="265" t="s">
        <v>1290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1291</v>
      </c>
      <c r="G1363" s="265" t="s">
        <v>1290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1292</v>
      </c>
      <c r="G1364" s="265" t="s">
        <v>1244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1293</v>
      </c>
      <c r="G1365" s="265" t="s">
        <v>1244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1294</v>
      </c>
      <c r="G1366" s="265" t="s">
        <v>1244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1293</v>
      </c>
      <c r="G1367" s="265" t="s">
        <v>1244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1295</v>
      </c>
      <c r="G1368" s="265" t="s">
        <v>1244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1244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1244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1244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1244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1244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1296</v>
      </c>
      <c r="G1374" s="265" t="s">
        <v>1244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1244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1244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1297</v>
      </c>
      <c r="G1377" s="265" t="s">
        <v>1298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1299</v>
      </c>
      <c r="G1378" s="265" t="s">
        <v>1298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1300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1301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1302</v>
      </c>
      <c r="G1381" s="265" t="s">
        <v>1303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1304</v>
      </c>
      <c r="G1382" s="265" t="s">
        <v>1303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19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1311</v>
      </c>
      <c r="G1383" s="265" t="s">
        <v>1312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1313</v>
      </c>
      <c r="G1384" s="265" t="s">
        <v>1314</v>
      </c>
      <c r="H1384" s="122" t="s">
        <v>1315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1316</v>
      </c>
      <c r="G1385" s="265" t="s">
        <v>1317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1318</v>
      </c>
      <c r="G1386" s="265" t="s">
        <v>1317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1319</v>
      </c>
      <c r="G1387" s="265" t="s">
        <v>1320</v>
      </c>
      <c r="H1387" s="122" t="s">
        <v>1321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1322</v>
      </c>
      <c r="G1388" s="265" t="s">
        <v>1320</v>
      </c>
      <c r="H1388" s="122" t="s">
        <v>1321</v>
      </c>
      <c r="I1388" s="122"/>
      <c r="J1388" s="122"/>
      <c r="K1388" s="122"/>
      <c r="L1388" s="122"/>
      <c r="M1388" s="74">
        <v>1008700</v>
      </c>
      <c r="N1388" s="75" t="s">
        <v>19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1323</v>
      </c>
      <c r="G1389" s="265" t="s">
        <v>1324</v>
      </c>
      <c r="H1389" s="122" t="s">
        <v>1325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1326</v>
      </c>
      <c r="G1390" s="265" t="s">
        <v>1324</v>
      </c>
      <c r="H1390" s="122" t="s">
        <v>1325</v>
      </c>
      <c r="I1390" s="122"/>
      <c r="J1390" s="122"/>
      <c r="K1390" s="122"/>
      <c r="L1390" s="122"/>
      <c r="M1390" s="74">
        <v>1673000</v>
      </c>
      <c r="N1390" s="75" t="s">
        <v>19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1327</v>
      </c>
      <c r="G1391" s="265" t="s">
        <v>1328</v>
      </c>
      <c r="H1391" s="122" t="s">
        <v>1325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1329</v>
      </c>
      <c r="G1392" s="265" t="s">
        <v>1328</v>
      </c>
      <c r="H1392" s="122" t="s">
        <v>1325</v>
      </c>
      <c r="I1392" s="122"/>
      <c r="J1392" s="122"/>
      <c r="K1392" s="122"/>
      <c r="L1392" s="122"/>
      <c r="M1392" s="74">
        <v>1800000</v>
      </c>
      <c r="N1392" s="75" t="s">
        <v>19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1330</v>
      </c>
      <c r="G1393" s="265" t="s">
        <v>1331</v>
      </c>
      <c r="H1393" s="122" t="s">
        <v>1332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1333</v>
      </c>
      <c r="G1394" s="265" t="s">
        <v>1331</v>
      </c>
      <c r="H1394" s="122" t="s">
        <v>1332</v>
      </c>
      <c r="I1394" s="122"/>
      <c r="J1394" s="122"/>
      <c r="K1394" s="122"/>
      <c r="L1394" s="122"/>
      <c r="M1394" s="74">
        <v>1779222</v>
      </c>
      <c r="N1394" s="75" t="s">
        <v>19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1334</v>
      </c>
      <c r="G1395" s="265" t="s">
        <v>1335</v>
      </c>
      <c r="H1395" s="122" t="s">
        <v>1332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1336</v>
      </c>
      <c r="G1396" s="265" t="s">
        <v>1335</v>
      </c>
      <c r="H1396" s="122" t="s">
        <v>1332</v>
      </c>
      <c r="I1396" s="122"/>
      <c r="J1396" s="122"/>
      <c r="K1396" s="122"/>
      <c r="L1396" s="122"/>
      <c r="M1396" s="74">
        <v>1734789</v>
      </c>
      <c r="N1396" s="75" t="s">
        <v>19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1330</v>
      </c>
      <c r="G1397" s="265" t="s">
        <v>767</v>
      </c>
      <c r="H1397" s="122" t="s">
        <v>1337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1333</v>
      </c>
      <c r="G1398" s="265" t="s">
        <v>767</v>
      </c>
      <c r="H1398" s="122" t="s">
        <v>1337</v>
      </c>
      <c r="I1398" s="122"/>
      <c r="J1398" s="122"/>
      <c r="K1398" s="122"/>
      <c r="L1398" s="122"/>
      <c r="M1398" s="74">
        <v>1784000</v>
      </c>
      <c r="N1398" s="75" t="s">
        <v>19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1338</v>
      </c>
      <c r="G1399" s="265" t="s">
        <v>1339</v>
      </c>
      <c r="H1399" s="122" t="s">
        <v>1340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1341</v>
      </c>
      <c r="G1400" s="265" t="s">
        <v>1339</v>
      </c>
      <c r="H1400" s="122" t="s">
        <v>1340</v>
      </c>
      <c r="I1400" s="122"/>
      <c r="J1400" s="122"/>
      <c r="K1400" s="122"/>
      <c r="L1400" s="122"/>
      <c r="M1400" s="74">
        <v>1626364</v>
      </c>
      <c r="N1400" s="75" t="s">
        <v>19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1342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1343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1344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1345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1346</v>
      </c>
      <c r="G1405" s="265" t="s">
        <v>1347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1348</v>
      </c>
      <c r="G1406" s="265" t="s">
        <v>1347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1349</v>
      </c>
      <c r="H1407" s="122" t="s">
        <v>1350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1351</v>
      </c>
      <c r="G1408" s="265" t="s">
        <v>1349</v>
      </c>
      <c r="H1408" s="122" t="s">
        <v>1350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42472</v>
      </c>
      <c r="D1409" s="73" t="s">
        <v>164</v>
      </c>
      <c r="E1409" s="73">
        <v>42472</v>
      </c>
      <c r="F1409" s="76" t="s">
        <v>1186</v>
      </c>
      <c r="G1409" s="265" t="s">
        <v>1352</v>
      </c>
      <c r="H1409" s="122" t="s">
        <v>828</v>
      </c>
      <c r="I1409" s="122"/>
      <c r="J1409" s="122"/>
      <c r="K1409" s="122"/>
      <c r="L1409" s="122"/>
      <c r="M1409" s="74">
        <v>1388000</v>
      </c>
      <c r="N1409" s="75" t="s">
        <v>654</v>
      </c>
      <c r="O1409" s="75" t="s">
        <v>203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42472</v>
      </c>
      <c r="D1410" s="73" t="s">
        <v>1259</v>
      </c>
      <c r="E1410" s="73">
        <v>42472</v>
      </c>
      <c r="F1410" s="76" t="s">
        <v>1353</v>
      </c>
      <c r="G1410" s="265" t="s">
        <v>1354</v>
      </c>
      <c r="H1410" s="122" t="s">
        <v>1262</v>
      </c>
      <c r="I1410" s="122">
        <v>3000</v>
      </c>
      <c r="J1410" s="122">
        <v>800</v>
      </c>
      <c r="K1410" s="122"/>
      <c r="L1410" s="122"/>
      <c r="M1410" s="74">
        <v>2400000</v>
      </c>
      <c r="N1410" s="75" t="s">
        <v>1263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1259</v>
      </c>
      <c r="E1411" s="73">
        <v>42472</v>
      </c>
      <c r="F1411" s="76" t="s">
        <v>1355</v>
      </c>
      <c r="G1411" s="265" t="s">
        <v>1354</v>
      </c>
      <c r="H1411" s="122" t="s">
        <v>1262</v>
      </c>
      <c r="I1411" s="122">
        <v>2000</v>
      </c>
      <c r="J1411" s="122">
        <v>900</v>
      </c>
      <c r="K1411" s="122"/>
      <c r="L1411" s="122"/>
      <c r="M1411" s="74">
        <v>1800000</v>
      </c>
      <c r="N1411" s="75" t="s">
        <v>1263</v>
      </c>
      <c r="O1411" s="75" t="s">
        <v>18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1259</v>
      </c>
      <c r="E1412" s="73">
        <v>42472</v>
      </c>
      <c r="F1412" s="76" t="s">
        <v>1356</v>
      </c>
      <c r="G1412" s="265" t="s">
        <v>1354</v>
      </c>
      <c r="H1412" s="122" t="s">
        <v>1262</v>
      </c>
      <c r="I1412" s="122"/>
      <c r="J1412" s="122"/>
      <c r="K1412" s="122"/>
      <c r="L1412" s="122"/>
      <c r="M1412" s="74">
        <v>420000</v>
      </c>
      <c r="N1412" s="75" t="s">
        <v>19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42474</v>
      </c>
      <c r="D1413" s="73" t="s">
        <v>165</v>
      </c>
      <c r="E1413" s="73">
        <v>42474</v>
      </c>
      <c r="F1413" s="76" t="s">
        <v>1357</v>
      </c>
      <c r="G1413" s="265" t="s">
        <v>1358</v>
      </c>
      <c r="H1413" s="122" t="s">
        <v>1359</v>
      </c>
      <c r="I1413" s="122"/>
      <c r="J1413" s="122"/>
      <c r="K1413" s="122"/>
      <c r="L1413" s="122"/>
      <c r="M1413" s="74">
        <v>50000</v>
      </c>
      <c r="N1413" s="75" t="s">
        <v>241</v>
      </c>
      <c r="O1413" s="75" t="s">
        <v>203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42474</v>
      </c>
      <c r="D1414" s="73" t="s">
        <v>166</v>
      </c>
      <c r="E1414" s="73">
        <v>42474</v>
      </c>
      <c r="F1414" s="76" t="s">
        <v>1360</v>
      </c>
      <c r="G1414" s="265" t="s">
        <v>1361</v>
      </c>
      <c r="H1414" s="122" t="s">
        <v>1362</v>
      </c>
      <c r="I1414" s="122"/>
      <c r="J1414" s="122"/>
      <c r="K1414" s="122"/>
      <c r="L1414" s="122"/>
      <c r="M1414" s="74">
        <v>2220000</v>
      </c>
      <c r="N1414" s="75" t="s">
        <v>654</v>
      </c>
      <c r="O1414" s="75" t="s">
        <v>203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42480</v>
      </c>
      <c r="D1415" s="73" t="s">
        <v>167</v>
      </c>
      <c r="E1415" s="73">
        <v>42480</v>
      </c>
      <c r="F1415" s="76" t="s">
        <v>1363</v>
      </c>
      <c r="G1415" s="265" t="s">
        <v>1364</v>
      </c>
      <c r="H1415" s="122" t="s">
        <v>279</v>
      </c>
      <c r="I1415" s="122"/>
      <c r="J1415" s="122"/>
      <c r="K1415" s="122"/>
      <c r="L1415" s="122"/>
      <c r="M1415" s="74">
        <v>624798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42480</v>
      </c>
      <c r="D1416" s="73" t="s">
        <v>167</v>
      </c>
      <c r="E1416" s="73">
        <v>42480</v>
      </c>
      <c r="F1416" s="76" t="s">
        <v>1365</v>
      </c>
      <c r="G1416" s="265" t="s">
        <v>1364</v>
      </c>
      <c r="H1416" s="122" t="s">
        <v>279</v>
      </c>
      <c r="I1416" s="122"/>
      <c r="J1416" s="122"/>
      <c r="K1416" s="122"/>
      <c r="L1416" s="122"/>
      <c r="M1416" s="74">
        <v>62479</v>
      </c>
      <c r="N1416" s="75" t="s">
        <v>19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168</v>
      </c>
      <c r="E1417" s="73">
        <v>42480</v>
      </c>
      <c r="F1417" s="76" t="s">
        <v>1273</v>
      </c>
      <c r="G1417" s="265" t="s">
        <v>1366</v>
      </c>
      <c r="H1417" s="122" t="s">
        <v>83</v>
      </c>
      <c r="I1417" s="122"/>
      <c r="J1417" s="122"/>
      <c r="K1417" s="122"/>
      <c r="L1417" s="122"/>
      <c r="M1417" s="74">
        <v>6523636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168</v>
      </c>
      <c r="E1418" s="73">
        <v>42480</v>
      </c>
      <c r="F1418" s="76" t="s">
        <v>1275</v>
      </c>
      <c r="G1418" s="265" t="s">
        <v>1366</v>
      </c>
      <c r="H1418" s="122" t="s">
        <v>83</v>
      </c>
      <c r="I1418" s="122"/>
      <c r="J1418" s="122"/>
      <c r="K1418" s="122"/>
      <c r="L1418" s="122"/>
      <c r="M1418" s="74">
        <v>652364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42481</v>
      </c>
      <c r="D1419" s="73" t="s">
        <v>21</v>
      </c>
      <c r="E1419" s="73">
        <v>42481</v>
      </c>
      <c r="F1419" s="76" t="s">
        <v>1268</v>
      </c>
      <c r="G1419" s="265" t="s">
        <v>1244</v>
      </c>
      <c r="H1419" s="122" t="s">
        <v>1201</v>
      </c>
      <c r="I1419" s="122"/>
      <c r="J1419" s="122"/>
      <c r="K1419" s="122"/>
      <c r="L1419" s="122"/>
      <c r="M1419" s="74">
        <v>40000000</v>
      </c>
      <c r="N1419" s="75" t="s">
        <v>54</v>
      </c>
      <c r="O1419" s="75" t="s">
        <v>212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42481</v>
      </c>
      <c r="D1420" s="73" t="s">
        <v>169</v>
      </c>
      <c r="E1420" s="73">
        <v>42481</v>
      </c>
      <c r="F1420" s="76" t="s">
        <v>1228</v>
      </c>
      <c r="G1420" s="265" t="s">
        <v>1244</v>
      </c>
      <c r="H1420" s="122" t="s">
        <v>1201</v>
      </c>
      <c r="I1420" s="122"/>
      <c r="J1420" s="122"/>
      <c r="K1420" s="122"/>
      <c r="L1420" s="122"/>
      <c r="M1420" s="74">
        <v>40000000</v>
      </c>
      <c r="N1420" s="75" t="s">
        <v>212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170</v>
      </c>
      <c r="E1421" s="73">
        <v>42481</v>
      </c>
      <c r="F1421" s="76" t="s">
        <v>1195</v>
      </c>
      <c r="G1421" s="265" t="s">
        <v>1244</v>
      </c>
      <c r="H1421" s="122" t="s">
        <v>271</v>
      </c>
      <c r="I1421" s="122"/>
      <c r="J1421" s="122"/>
      <c r="K1421" s="122"/>
      <c r="L1421" s="122"/>
      <c r="M1421" s="74">
        <v>130000000</v>
      </c>
      <c r="N1421" s="75" t="s">
        <v>54</v>
      </c>
      <c r="O1421" s="75" t="s">
        <v>203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170</v>
      </c>
      <c r="E1422" s="73">
        <v>42481</v>
      </c>
      <c r="F1422" s="76" t="s">
        <v>1195</v>
      </c>
      <c r="G1422" s="265" t="s">
        <v>1244</v>
      </c>
      <c r="H1422" s="122" t="s">
        <v>271</v>
      </c>
      <c r="I1422" s="122"/>
      <c r="J1422" s="122"/>
      <c r="K1422" s="122"/>
      <c r="L1422" s="122"/>
      <c r="M1422" s="74">
        <v>60000000</v>
      </c>
      <c r="N1422" s="75" t="s">
        <v>54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</v>
      </c>
      <c r="E1423" s="73">
        <v>42481</v>
      </c>
      <c r="F1423" s="76" t="s">
        <v>1194</v>
      </c>
      <c r="G1423" s="265" t="s">
        <v>1244</v>
      </c>
      <c r="H1423" s="122" t="s">
        <v>313</v>
      </c>
      <c r="I1423" s="122"/>
      <c r="J1423" s="122"/>
      <c r="K1423" s="122"/>
      <c r="L1423" s="122"/>
      <c r="M1423" s="74">
        <v>8187032</v>
      </c>
      <c r="N1423" s="75" t="s">
        <v>239</v>
      </c>
      <c r="O1423" s="75" t="s">
        <v>54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</v>
      </c>
      <c r="E1424" s="73">
        <v>42481</v>
      </c>
      <c r="F1424" s="76" t="s">
        <v>1194</v>
      </c>
      <c r="G1424" s="265" t="s">
        <v>1244</v>
      </c>
      <c r="H1424" s="122" t="s">
        <v>314</v>
      </c>
      <c r="I1424" s="122"/>
      <c r="J1424" s="122"/>
      <c r="K1424" s="122"/>
      <c r="L1424" s="122"/>
      <c r="M1424" s="74">
        <v>16374064</v>
      </c>
      <c r="N1424" s="75" t="s">
        <v>239</v>
      </c>
      <c r="O1424" s="75" t="s">
        <v>54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1244</v>
      </c>
      <c r="H1425" s="122" t="s">
        <v>316</v>
      </c>
      <c r="I1425" s="122"/>
      <c r="J1425" s="122"/>
      <c r="K1425" s="122"/>
      <c r="L1425" s="122"/>
      <c r="M1425" s="74">
        <v>13099251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1244</v>
      </c>
      <c r="H1426" s="122" t="s">
        <v>315</v>
      </c>
      <c r="I1426" s="122"/>
      <c r="J1426" s="122"/>
      <c r="K1426" s="122"/>
      <c r="L1426" s="122"/>
      <c r="M1426" s="74">
        <v>12280547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1244</v>
      </c>
      <c r="H1427" s="122" t="s">
        <v>317</v>
      </c>
      <c r="I1427" s="122"/>
      <c r="J1427" s="122"/>
      <c r="K1427" s="122"/>
      <c r="L1427" s="122"/>
      <c r="M1427" s="74">
        <v>8187032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1244</v>
      </c>
      <c r="H1428" s="122" t="s">
        <v>318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1244</v>
      </c>
      <c r="H1429" s="122" t="s">
        <v>319</v>
      </c>
      <c r="I1429" s="122"/>
      <c r="J1429" s="122"/>
      <c r="K1429" s="122"/>
      <c r="L1429" s="122"/>
      <c r="M1429" s="74">
        <v>16374064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1244</v>
      </c>
      <c r="H1430" s="122" t="s">
        <v>320</v>
      </c>
      <c r="I1430" s="122"/>
      <c r="J1430" s="122"/>
      <c r="K1430" s="122"/>
      <c r="L1430" s="122"/>
      <c r="M1430" s="74">
        <v>11461845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1244</v>
      </c>
      <c r="H1431" s="122" t="s">
        <v>321</v>
      </c>
      <c r="I1431" s="122"/>
      <c r="J1431" s="122"/>
      <c r="K1431" s="122"/>
      <c r="L1431" s="122"/>
      <c r="M1431" s="74">
        <v>12280547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1244</v>
      </c>
      <c r="H1432" s="122" t="s">
        <v>325</v>
      </c>
      <c r="I1432" s="122"/>
      <c r="J1432" s="122"/>
      <c r="K1432" s="122"/>
      <c r="L1432" s="122"/>
      <c r="M1432" s="74">
        <v>12280547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1244</v>
      </c>
      <c r="H1433" s="122" t="s">
        <v>416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1244</v>
      </c>
      <c r="H1434" s="122" t="s">
        <v>421</v>
      </c>
      <c r="I1434" s="122"/>
      <c r="J1434" s="122"/>
      <c r="K1434" s="122"/>
      <c r="L1434" s="122"/>
      <c r="M1434" s="74">
        <v>8187032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1244</v>
      </c>
      <c r="H1435" s="122" t="s">
        <v>455</v>
      </c>
      <c r="I1435" s="122"/>
      <c r="J1435" s="122"/>
      <c r="K1435" s="122"/>
      <c r="L1435" s="122"/>
      <c r="M1435" s="74">
        <v>8187032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1244</v>
      </c>
      <c r="H1436" s="122" t="s">
        <v>1058</v>
      </c>
      <c r="I1436" s="122"/>
      <c r="J1436" s="122"/>
      <c r="K1436" s="122"/>
      <c r="L1436" s="122"/>
      <c r="M1436" s="74">
        <v>6772110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1244</v>
      </c>
      <c r="H1437" s="122" t="s">
        <v>323</v>
      </c>
      <c r="I1437" s="122"/>
      <c r="J1437" s="122"/>
      <c r="K1437" s="122"/>
      <c r="L1437" s="122"/>
      <c r="M1437" s="74">
        <v>12280547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42482</v>
      </c>
      <c r="D1438" s="73" t="s">
        <v>17</v>
      </c>
      <c r="E1438" s="73">
        <v>42482</v>
      </c>
      <c r="F1438" s="76" t="s">
        <v>300</v>
      </c>
      <c r="G1438" s="265" t="s">
        <v>1244</v>
      </c>
      <c r="H1438" s="122" t="s">
        <v>305</v>
      </c>
      <c r="I1438" s="122"/>
      <c r="J1438" s="122"/>
      <c r="K1438" s="122"/>
      <c r="L1438" s="122"/>
      <c r="M1438" s="74">
        <v>60000000</v>
      </c>
      <c r="N1438" s="75" t="s">
        <v>18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42482</v>
      </c>
      <c r="D1439" s="73" t="s">
        <v>17</v>
      </c>
      <c r="E1439" s="73">
        <v>42482</v>
      </c>
      <c r="F1439" s="76" t="s">
        <v>34</v>
      </c>
      <c r="G1439" s="265" t="s">
        <v>1244</v>
      </c>
      <c r="H1439" s="122"/>
      <c r="I1439" s="122"/>
      <c r="J1439" s="122"/>
      <c r="K1439" s="122"/>
      <c r="L1439" s="122"/>
      <c r="M1439" s="74">
        <v>50000</v>
      </c>
      <c r="N1439" s="75" t="s">
        <v>241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35</v>
      </c>
      <c r="G1440" s="265" t="s">
        <v>1244</v>
      </c>
      <c r="H1440" s="122"/>
      <c r="I1440" s="122"/>
      <c r="J1440" s="122"/>
      <c r="K1440" s="122"/>
      <c r="L1440" s="122"/>
      <c r="M1440" s="74">
        <v>5000</v>
      </c>
      <c r="N1440" s="75" t="s">
        <v>19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42483</v>
      </c>
      <c r="D1441" s="73" t="s">
        <v>171</v>
      </c>
      <c r="E1441" s="73">
        <v>42483</v>
      </c>
      <c r="F1441" s="76" t="s">
        <v>1186</v>
      </c>
      <c r="G1441" s="265" t="s">
        <v>1367</v>
      </c>
      <c r="H1441" s="122" t="s">
        <v>846</v>
      </c>
      <c r="I1441" s="122"/>
      <c r="J1441" s="122"/>
      <c r="K1441" s="122"/>
      <c r="L1441" s="122"/>
      <c r="M1441" s="74">
        <v>618000</v>
      </c>
      <c r="N1441" s="75" t="s">
        <v>654</v>
      </c>
      <c r="O1441" s="75" t="s">
        <v>203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42485</v>
      </c>
      <c r="D1442" s="73" t="s">
        <v>494</v>
      </c>
      <c r="E1442" s="73">
        <v>42485</v>
      </c>
      <c r="F1442" s="76" t="s">
        <v>1368</v>
      </c>
      <c r="G1442" s="265" t="s">
        <v>1369</v>
      </c>
      <c r="H1442" s="122" t="s">
        <v>188</v>
      </c>
      <c r="I1442" s="122"/>
      <c r="J1442" s="122"/>
      <c r="K1442" s="122"/>
      <c r="L1442" s="122"/>
      <c r="M1442" s="74">
        <v>10818800</v>
      </c>
      <c r="N1442" s="75" t="s">
        <v>241</v>
      </c>
      <c r="O1442" s="75" t="s">
        <v>203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42485</v>
      </c>
      <c r="D1443" s="73" t="s">
        <v>494</v>
      </c>
      <c r="E1443" s="73">
        <v>42485</v>
      </c>
      <c r="F1443" s="76" t="s">
        <v>1370</v>
      </c>
      <c r="G1443" s="265" t="s">
        <v>1369</v>
      </c>
      <c r="H1443" s="122" t="s">
        <v>188</v>
      </c>
      <c r="I1443" s="122"/>
      <c r="J1443" s="122"/>
      <c r="K1443" s="122"/>
      <c r="L1443" s="122"/>
      <c r="M1443" s="74">
        <v>540940</v>
      </c>
      <c r="N1443" s="75" t="s">
        <v>19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42486</v>
      </c>
      <c r="D1444" s="73" t="s">
        <v>495</v>
      </c>
      <c r="E1444" s="73">
        <v>42486</v>
      </c>
      <c r="F1444" s="76" t="s">
        <v>462</v>
      </c>
      <c r="G1444" s="265" t="s">
        <v>1371</v>
      </c>
      <c r="H1444" s="122" t="s">
        <v>1372</v>
      </c>
      <c r="I1444" s="122"/>
      <c r="J1444" s="122"/>
      <c r="K1444" s="122"/>
      <c r="L1444" s="122"/>
      <c r="M1444" s="74">
        <v>2180000</v>
      </c>
      <c r="N1444" s="75" t="s">
        <v>654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42487</v>
      </c>
      <c r="D1445" s="73" t="s">
        <v>496</v>
      </c>
      <c r="E1445" s="73">
        <v>42487</v>
      </c>
      <c r="F1445" s="76" t="s">
        <v>462</v>
      </c>
      <c r="G1445" s="265" t="s">
        <v>1373</v>
      </c>
      <c r="H1445" s="122" t="s">
        <v>1315</v>
      </c>
      <c r="I1445" s="122"/>
      <c r="J1445" s="122"/>
      <c r="K1445" s="122"/>
      <c r="L1445" s="122"/>
      <c r="M1445" s="74">
        <v>1500000</v>
      </c>
      <c r="N1445" s="75" t="s">
        <v>654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42487</v>
      </c>
      <c r="D1446" s="73" t="s">
        <v>497</v>
      </c>
      <c r="E1446" s="73">
        <v>42487</v>
      </c>
      <c r="F1446" s="76" t="s">
        <v>1195</v>
      </c>
      <c r="G1446" s="265" t="s">
        <v>1244</v>
      </c>
      <c r="H1446" s="122" t="s">
        <v>307</v>
      </c>
      <c r="I1446" s="122"/>
      <c r="J1446" s="122"/>
      <c r="K1446" s="122"/>
      <c r="L1446" s="122"/>
      <c r="M1446" s="74">
        <v>47000000</v>
      </c>
      <c r="N1446" s="75" t="s">
        <v>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42487</v>
      </c>
      <c r="D1447" s="73" t="s">
        <v>17</v>
      </c>
      <c r="E1447" s="73">
        <v>42487</v>
      </c>
      <c r="F1447" s="76" t="s">
        <v>1374</v>
      </c>
      <c r="G1447" s="265" t="s">
        <v>1244</v>
      </c>
      <c r="H1447" s="122" t="s">
        <v>648</v>
      </c>
      <c r="I1447" s="122"/>
      <c r="J1447" s="122"/>
      <c r="K1447" s="122"/>
      <c r="L1447" s="122"/>
      <c r="M1447" s="74">
        <v>46697530</v>
      </c>
      <c r="N1447" s="75" t="s">
        <v>18</v>
      </c>
      <c r="O1447" s="75" t="s">
        <v>54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42487</v>
      </c>
      <c r="D1448" s="73" t="s">
        <v>17</v>
      </c>
      <c r="E1448" s="73">
        <v>42487</v>
      </c>
      <c r="F1448" s="76" t="s">
        <v>34</v>
      </c>
      <c r="G1448" s="265" t="s">
        <v>1244</v>
      </c>
      <c r="H1448" s="122"/>
      <c r="I1448" s="122"/>
      <c r="J1448" s="122"/>
      <c r="K1448" s="122"/>
      <c r="L1448" s="122"/>
      <c r="M1448" s="74">
        <v>45000</v>
      </c>
      <c r="N1448" s="75" t="s">
        <v>241</v>
      </c>
      <c r="O1448" s="75" t="s">
        <v>54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17</v>
      </c>
      <c r="E1449" s="73">
        <v>42487</v>
      </c>
      <c r="F1449" s="76" t="s">
        <v>35</v>
      </c>
      <c r="G1449" s="265" t="s">
        <v>1244</v>
      </c>
      <c r="H1449" s="122"/>
      <c r="I1449" s="122"/>
      <c r="J1449" s="122"/>
      <c r="K1449" s="122"/>
      <c r="L1449" s="122"/>
      <c r="M1449" s="74">
        <v>4500</v>
      </c>
      <c r="N1449" s="75" t="s">
        <v>19</v>
      </c>
      <c r="O1449" s="75" t="s">
        <v>54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5</v>
      </c>
      <c r="C1450" s="73">
        <v>42491</v>
      </c>
      <c r="D1450" s="73" t="s">
        <v>20</v>
      </c>
      <c r="E1450" s="73">
        <v>42491</v>
      </c>
      <c r="F1450" s="76" t="s">
        <v>1268</v>
      </c>
      <c r="G1450" s="265" t="s">
        <v>1244</v>
      </c>
      <c r="H1450" s="122" t="s">
        <v>430</v>
      </c>
      <c r="I1450" s="122"/>
      <c r="J1450" s="122"/>
      <c r="K1450" s="122"/>
      <c r="L1450" s="122"/>
      <c r="M1450" s="74">
        <v>1000000000</v>
      </c>
      <c r="N1450" s="75" t="s">
        <v>203</v>
      </c>
      <c r="O1450" s="75" t="s">
        <v>39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5</v>
      </c>
      <c r="C1451" s="73">
        <v>42494</v>
      </c>
      <c r="D1451" s="73" t="s">
        <v>21</v>
      </c>
      <c r="E1451" s="73">
        <v>42494</v>
      </c>
      <c r="F1451" s="76" t="s">
        <v>1268</v>
      </c>
      <c r="G1451" s="265" t="s">
        <v>1244</v>
      </c>
      <c r="H1451" s="122" t="s">
        <v>1201</v>
      </c>
      <c r="I1451" s="122"/>
      <c r="J1451" s="122"/>
      <c r="K1451" s="122"/>
      <c r="L1451" s="122"/>
      <c r="M1451" s="74">
        <v>95000000</v>
      </c>
      <c r="N1451" s="75" t="s">
        <v>54</v>
      </c>
      <c r="O1451" s="75" t="s">
        <v>212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5</v>
      </c>
      <c r="C1452" s="73">
        <v>42494</v>
      </c>
      <c r="D1452" s="73" t="s">
        <v>498</v>
      </c>
      <c r="E1452" s="73">
        <v>42494</v>
      </c>
      <c r="F1452" s="76" t="s">
        <v>1228</v>
      </c>
      <c r="G1452" s="265" t="s">
        <v>1244</v>
      </c>
      <c r="H1452" s="122" t="s">
        <v>1201</v>
      </c>
      <c r="I1452" s="122"/>
      <c r="J1452" s="122"/>
      <c r="K1452" s="122"/>
      <c r="L1452" s="122"/>
      <c r="M1452" s="74">
        <v>95000000</v>
      </c>
      <c r="N1452" s="75" t="s">
        <v>212</v>
      </c>
      <c r="O1452" s="75" t="s">
        <v>203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5</v>
      </c>
      <c r="C1453" s="73">
        <v>42494</v>
      </c>
      <c r="D1453" s="73" t="s">
        <v>17</v>
      </c>
      <c r="E1453" s="73">
        <v>42494</v>
      </c>
      <c r="F1453" s="76" t="s">
        <v>1375</v>
      </c>
      <c r="G1453" s="265" t="s">
        <v>1244</v>
      </c>
      <c r="H1453" s="122" t="s">
        <v>648</v>
      </c>
      <c r="I1453" s="122"/>
      <c r="J1453" s="122"/>
      <c r="K1453" s="122"/>
      <c r="L1453" s="122"/>
      <c r="M1453" s="74">
        <v>92467100</v>
      </c>
      <c r="N1453" s="75" t="s">
        <v>18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42494</v>
      </c>
      <c r="D1454" s="73" t="s">
        <v>17</v>
      </c>
      <c r="E1454" s="73">
        <v>42494</v>
      </c>
      <c r="F1454" s="76" t="s">
        <v>34</v>
      </c>
      <c r="G1454" s="265" t="s">
        <v>1244</v>
      </c>
      <c r="H1454" s="122"/>
      <c r="I1454" s="122"/>
      <c r="J1454" s="122"/>
      <c r="K1454" s="122"/>
      <c r="L1454" s="122"/>
      <c r="M1454" s="74">
        <v>46234</v>
      </c>
      <c r="N1454" s="75" t="s">
        <v>241</v>
      </c>
      <c r="O1454" s="75" t="s">
        <v>54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17</v>
      </c>
      <c r="E1455" s="73">
        <v>42494</v>
      </c>
      <c r="F1455" s="76" t="s">
        <v>35</v>
      </c>
      <c r="G1455" s="265" t="s">
        <v>1244</v>
      </c>
      <c r="H1455" s="122"/>
      <c r="I1455" s="122"/>
      <c r="J1455" s="122"/>
      <c r="K1455" s="122"/>
      <c r="L1455" s="122"/>
      <c r="M1455" s="74">
        <v>4623</v>
      </c>
      <c r="N1455" s="75" t="s">
        <v>19</v>
      </c>
      <c r="O1455" s="75" t="s">
        <v>54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42500</v>
      </c>
      <c r="D1456" s="73" t="s">
        <v>499</v>
      </c>
      <c r="E1456" s="73">
        <v>42500</v>
      </c>
      <c r="F1456" s="76" t="s">
        <v>1376</v>
      </c>
      <c r="G1456" s="265" t="s">
        <v>1377</v>
      </c>
      <c r="H1456" s="122" t="s">
        <v>782</v>
      </c>
      <c r="I1456" s="122"/>
      <c r="J1456" s="122"/>
      <c r="K1456" s="122"/>
      <c r="L1456" s="122"/>
      <c r="M1456" s="74">
        <v>7272727</v>
      </c>
      <c r="N1456" s="75" t="s">
        <v>241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42500</v>
      </c>
      <c r="D1457" s="73" t="s">
        <v>499</v>
      </c>
      <c r="E1457" s="73">
        <v>42500</v>
      </c>
      <c r="F1457" s="76" t="s">
        <v>1378</v>
      </c>
      <c r="G1457" s="265" t="s">
        <v>1377</v>
      </c>
      <c r="H1457" s="122" t="s">
        <v>782</v>
      </c>
      <c r="I1457" s="122"/>
      <c r="J1457" s="122"/>
      <c r="K1457" s="122"/>
      <c r="L1457" s="122"/>
      <c r="M1457" s="74">
        <v>727273</v>
      </c>
      <c r="N1457" s="75" t="s">
        <v>19</v>
      </c>
      <c r="O1457" s="75" t="s">
        <v>203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42500</v>
      </c>
      <c r="D1458" s="73" t="s">
        <v>500</v>
      </c>
      <c r="E1458" s="73">
        <v>42500</v>
      </c>
      <c r="F1458" s="76" t="s">
        <v>1379</v>
      </c>
      <c r="G1458" s="265" t="s">
        <v>1380</v>
      </c>
      <c r="H1458" s="122" t="s">
        <v>1381</v>
      </c>
      <c r="I1458" s="122"/>
      <c r="J1458" s="122"/>
      <c r="K1458" s="122"/>
      <c r="L1458" s="122"/>
      <c r="M1458" s="74">
        <v>1479091</v>
      </c>
      <c r="N1458" s="75" t="s">
        <v>241</v>
      </c>
      <c r="O1458" s="75" t="s">
        <v>203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42500</v>
      </c>
      <c r="D1459" s="73" t="s">
        <v>500</v>
      </c>
      <c r="E1459" s="73">
        <v>42500</v>
      </c>
      <c r="F1459" s="76" t="s">
        <v>1382</v>
      </c>
      <c r="G1459" s="265" t="s">
        <v>1380</v>
      </c>
      <c r="H1459" s="122" t="s">
        <v>1381</v>
      </c>
      <c r="I1459" s="122"/>
      <c r="J1459" s="122"/>
      <c r="K1459" s="122"/>
      <c r="L1459" s="122"/>
      <c r="M1459" s="74">
        <v>147909</v>
      </c>
      <c r="N1459" s="75" t="s">
        <v>19</v>
      </c>
      <c r="O1459" s="75" t="s">
        <v>203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42503</v>
      </c>
      <c r="D1460" s="73" t="s">
        <v>501</v>
      </c>
      <c r="E1460" s="73">
        <v>42503</v>
      </c>
      <c r="F1460" s="76" t="s">
        <v>1186</v>
      </c>
      <c r="G1460" s="265" t="s">
        <v>1383</v>
      </c>
      <c r="H1460" s="122" t="s">
        <v>1214</v>
      </c>
      <c r="I1460" s="122"/>
      <c r="J1460" s="122"/>
      <c r="K1460" s="122"/>
      <c r="L1460" s="122"/>
      <c r="M1460" s="74">
        <v>1700000</v>
      </c>
      <c r="N1460" s="75" t="s">
        <v>654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42507</v>
      </c>
      <c r="D1461" s="73" t="s">
        <v>502</v>
      </c>
      <c r="E1461" s="73">
        <v>42507</v>
      </c>
      <c r="F1461" s="76" t="s">
        <v>1384</v>
      </c>
      <c r="G1461" s="265" t="s">
        <v>1385</v>
      </c>
      <c r="H1461" s="122" t="s">
        <v>279</v>
      </c>
      <c r="I1461" s="122"/>
      <c r="J1461" s="122"/>
      <c r="K1461" s="122"/>
      <c r="L1461" s="122"/>
      <c r="M1461" s="74">
        <v>481314</v>
      </c>
      <c r="N1461" s="75" t="s">
        <v>241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42507</v>
      </c>
      <c r="D1462" s="73" t="s">
        <v>502</v>
      </c>
      <c r="E1462" s="73">
        <v>42507</v>
      </c>
      <c r="F1462" s="76" t="s">
        <v>1386</v>
      </c>
      <c r="G1462" s="265" t="s">
        <v>1385</v>
      </c>
      <c r="H1462" s="122" t="s">
        <v>279</v>
      </c>
      <c r="I1462" s="122"/>
      <c r="J1462" s="122"/>
      <c r="K1462" s="122"/>
      <c r="L1462" s="122"/>
      <c r="M1462" s="74">
        <v>48131</v>
      </c>
      <c r="N1462" s="75" t="s">
        <v>19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42507</v>
      </c>
      <c r="D1463" s="73" t="s">
        <v>503</v>
      </c>
      <c r="E1463" s="73">
        <v>42507</v>
      </c>
      <c r="F1463" s="76" t="s">
        <v>1186</v>
      </c>
      <c r="G1463" s="265" t="s">
        <v>1387</v>
      </c>
      <c r="H1463" s="122" t="s">
        <v>1214</v>
      </c>
      <c r="I1463" s="122"/>
      <c r="J1463" s="122"/>
      <c r="K1463" s="122"/>
      <c r="L1463" s="122"/>
      <c r="M1463" s="74">
        <v>3800000</v>
      </c>
      <c r="N1463" s="75" t="s">
        <v>654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42509</v>
      </c>
      <c r="D1464" s="73" t="s">
        <v>504</v>
      </c>
      <c r="E1464" s="73">
        <v>42509</v>
      </c>
      <c r="F1464" s="76" t="s">
        <v>462</v>
      </c>
      <c r="G1464" s="265" t="s">
        <v>1388</v>
      </c>
      <c r="H1464" s="122" t="s">
        <v>828</v>
      </c>
      <c r="I1464" s="122"/>
      <c r="J1464" s="122"/>
      <c r="K1464" s="122"/>
      <c r="L1464" s="122"/>
      <c r="M1464" s="74">
        <v>1145000</v>
      </c>
      <c r="N1464" s="75" t="s">
        <v>654</v>
      </c>
      <c r="O1464" s="75" t="s">
        <v>203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42509</v>
      </c>
      <c r="D1465" s="73" t="s">
        <v>21</v>
      </c>
      <c r="E1465" s="73">
        <v>42509</v>
      </c>
      <c r="F1465" s="76" t="s">
        <v>1268</v>
      </c>
      <c r="G1465" s="265" t="s">
        <v>1244</v>
      </c>
      <c r="H1465" s="122" t="s">
        <v>1201</v>
      </c>
      <c r="I1465" s="122"/>
      <c r="J1465" s="122"/>
      <c r="K1465" s="122"/>
      <c r="L1465" s="122"/>
      <c r="M1465" s="74">
        <v>14000000</v>
      </c>
      <c r="N1465" s="75" t="s">
        <v>54</v>
      </c>
      <c r="O1465" s="75" t="s">
        <v>212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42509</v>
      </c>
      <c r="D1466" s="73" t="s">
        <v>505</v>
      </c>
      <c r="E1466" s="73">
        <v>42509</v>
      </c>
      <c r="F1466" s="76" t="s">
        <v>1228</v>
      </c>
      <c r="G1466" s="265" t="s">
        <v>1244</v>
      </c>
      <c r="H1466" s="122" t="s">
        <v>1201</v>
      </c>
      <c r="I1466" s="122"/>
      <c r="J1466" s="122"/>
      <c r="K1466" s="122"/>
      <c r="L1466" s="122"/>
      <c r="M1466" s="74">
        <v>14000000</v>
      </c>
      <c r="N1466" s="75" t="s">
        <v>212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42509</v>
      </c>
      <c r="D1467" s="73" t="s">
        <v>17</v>
      </c>
      <c r="E1467" s="73">
        <v>42509</v>
      </c>
      <c r="F1467" s="76" t="s">
        <v>1194</v>
      </c>
      <c r="G1467" s="265" t="s">
        <v>1244</v>
      </c>
      <c r="H1467" s="122" t="s">
        <v>1058</v>
      </c>
      <c r="I1467" s="122"/>
      <c r="J1467" s="122"/>
      <c r="K1467" s="122"/>
      <c r="L1467" s="122"/>
      <c r="M1467" s="74">
        <v>6557460</v>
      </c>
      <c r="N1467" s="75" t="s">
        <v>239</v>
      </c>
      <c r="O1467" s="75" t="s">
        <v>54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42510</v>
      </c>
      <c r="D1468" s="73" t="s">
        <v>506</v>
      </c>
      <c r="E1468" s="73">
        <v>42510</v>
      </c>
      <c r="F1468" s="76" t="s">
        <v>1389</v>
      </c>
      <c r="G1468" s="265" t="s">
        <v>1390</v>
      </c>
      <c r="H1468" s="122" t="s">
        <v>1391</v>
      </c>
      <c r="I1468" s="122"/>
      <c r="J1468" s="122"/>
      <c r="K1468" s="122"/>
      <c r="L1468" s="122"/>
      <c r="M1468" s="74">
        <v>8409091</v>
      </c>
      <c r="N1468" s="75" t="s">
        <v>241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42510</v>
      </c>
      <c r="D1469" s="73" t="s">
        <v>506</v>
      </c>
      <c r="E1469" s="73">
        <v>42510</v>
      </c>
      <c r="F1469" s="76" t="s">
        <v>1392</v>
      </c>
      <c r="G1469" s="265" t="s">
        <v>1390</v>
      </c>
      <c r="H1469" s="122" t="s">
        <v>1391</v>
      </c>
      <c r="I1469" s="122"/>
      <c r="J1469" s="122"/>
      <c r="K1469" s="122"/>
      <c r="L1469" s="122"/>
      <c r="M1469" s="74">
        <v>840909</v>
      </c>
      <c r="N1469" s="75" t="s">
        <v>19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42515</v>
      </c>
      <c r="D1470" s="73" t="s">
        <v>21</v>
      </c>
      <c r="E1470" s="73">
        <v>42515</v>
      </c>
      <c r="F1470" s="76" t="s">
        <v>1268</v>
      </c>
      <c r="G1470" s="265" t="s">
        <v>1244</v>
      </c>
      <c r="H1470" s="122" t="s">
        <v>1201</v>
      </c>
      <c r="I1470" s="122"/>
      <c r="J1470" s="122"/>
      <c r="K1470" s="122"/>
      <c r="L1470" s="122"/>
      <c r="M1470" s="74">
        <v>85000000</v>
      </c>
      <c r="N1470" s="75" t="s">
        <v>54</v>
      </c>
      <c r="O1470" s="75" t="s">
        <v>212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42515</v>
      </c>
      <c r="D1471" s="73" t="s">
        <v>507</v>
      </c>
      <c r="E1471" s="73">
        <v>42515</v>
      </c>
      <c r="F1471" s="76" t="s">
        <v>1228</v>
      </c>
      <c r="G1471" s="265" t="s">
        <v>1244</v>
      </c>
      <c r="H1471" s="122" t="s">
        <v>1201</v>
      </c>
      <c r="I1471" s="122"/>
      <c r="J1471" s="122"/>
      <c r="K1471" s="122"/>
      <c r="L1471" s="122"/>
      <c r="M1471" s="74">
        <v>85000000</v>
      </c>
      <c r="N1471" s="75" t="s">
        <v>212</v>
      </c>
      <c r="O1471" s="75" t="s">
        <v>203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42515</v>
      </c>
      <c r="D1472" s="73" t="s">
        <v>508</v>
      </c>
      <c r="E1472" s="73">
        <v>42515</v>
      </c>
      <c r="F1472" s="76" t="s">
        <v>1195</v>
      </c>
      <c r="G1472" s="265" t="s">
        <v>1244</v>
      </c>
      <c r="H1472" s="122" t="s">
        <v>307</v>
      </c>
      <c r="I1472" s="122"/>
      <c r="J1472" s="122"/>
      <c r="K1472" s="122"/>
      <c r="L1472" s="122"/>
      <c r="M1472" s="74">
        <v>40000000</v>
      </c>
      <c r="N1472" s="75" t="s">
        <v>54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42515</v>
      </c>
      <c r="D1473" s="73" t="s">
        <v>17</v>
      </c>
      <c r="E1473" s="73">
        <v>42515</v>
      </c>
      <c r="F1473" s="76" t="s">
        <v>1194</v>
      </c>
      <c r="G1473" s="265" t="s">
        <v>1244</v>
      </c>
      <c r="H1473" s="122" t="s">
        <v>313</v>
      </c>
      <c r="I1473" s="122"/>
      <c r="J1473" s="122"/>
      <c r="K1473" s="122"/>
      <c r="L1473" s="122"/>
      <c r="M1473" s="74">
        <v>7935469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42515</v>
      </c>
      <c r="D1474" s="73" t="s">
        <v>17</v>
      </c>
      <c r="E1474" s="73">
        <v>42515</v>
      </c>
      <c r="F1474" s="76" t="s">
        <v>1194</v>
      </c>
      <c r="G1474" s="265" t="s">
        <v>1244</v>
      </c>
      <c r="H1474" s="122" t="s">
        <v>314</v>
      </c>
      <c r="I1474" s="122"/>
      <c r="J1474" s="122"/>
      <c r="K1474" s="122"/>
      <c r="L1474" s="122"/>
      <c r="M1474" s="74">
        <v>15870937</v>
      </c>
      <c r="N1474" s="75" t="s">
        <v>239</v>
      </c>
      <c r="O1474" s="75" t="s">
        <v>54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42515</v>
      </c>
      <c r="D1475" s="73" t="s">
        <v>17</v>
      </c>
      <c r="E1475" s="73">
        <v>42515</v>
      </c>
      <c r="F1475" s="76" t="s">
        <v>1194</v>
      </c>
      <c r="G1475" s="265" t="s">
        <v>1244</v>
      </c>
      <c r="H1475" s="122" t="s">
        <v>316</v>
      </c>
      <c r="I1475" s="122"/>
      <c r="J1475" s="122"/>
      <c r="K1475" s="122"/>
      <c r="L1475" s="122"/>
      <c r="M1475" s="74">
        <v>12696750</v>
      </c>
      <c r="N1475" s="75" t="s">
        <v>239</v>
      </c>
      <c r="O1475" s="75" t="s">
        <v>54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17</v>
      </c>
      <c r="E1476" s="73">
        <v>42515</v>
      </c>
      <c r="F1476" s="76" t="s">
        <v>1194</v>
      </c>
      <c r="G1476" s="265" t="s">
        <v>1244</v>
      </c>
      <c r="H1476" s="122" t="s">
        <v>315</v>
      </c>
      <c r="I1476" s="122"/>
      <c r="J1476" s="122"/>
      <c r="K1476" s="122"/>
      <c r="L1476" s="122"/>
      <c r="M1476" s="74">
        <v>11903203</v>
      </c>
      <c r="N1476" s="75" t="s">
        <v>239</v>
      </c>
      <c r="O1476" s="75" t="s">
        <v>54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17</v>
      </c>
      <c r="E1477" s="73">
        <v>42515</v>
      </c>
      <c r="F1477" s="76" t="s">
        <v>1194</v>
      </c>
      <c r="G1477" s="265" t="s">
        <v>1244</v>
      </c>
      <c r="H1477" s="122" t="s">
        <v>317</v>
      </c>
      <c r="I1477" s="122"/>
      <c r="J1477" s="122"/>
      <c r="K1477" s="122"/>
      <c r="L1477" s="122"/>
      <c r="M1477" s="74">
        <v>7935469</v>
      </c>
      <c r="N1477" s="75" t="s">
        <v>239</v>
      </c>
      <c r="O1477" s="75" t="s">
        <v>54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17</v>
      </c>
      <c r="E1478" s="73">
        <v>42515</v>
      </c>
      <c r="F1478" s="76" t="s">
        <v>1194</v>
      </c>
      <c r="G1478" s="265" t="s">
        <v>1244</v>
      </c>
      <c r="H1478" s="122" t="s">
        <v>318</v>
      </c>
      <c r="I1478" s="122"/>
      <c r="J1478" s="122"/>
      <c r="K1478" s="122"/>
      <c r="L1478" s="122"/>
      <c r="M1478" s="74">
        <v>11903203</v>
      </c>
      <c r="N1478" s="75" t="s">
        <v>239</v>
      </c>
      <c r="O1478" s="75" t="s">
        <v>54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1244</v>
      </c>
      <c r="H1479" s="122" t="s">
        <v>319</v>
      </c>
      <c r="I1479" s="122"/>
      <c r="J1479" s="122"/>
      <c r="K1479" s="122"/>
      <c r="L1479" s="122"/>
      <c r="M1479" s="74">
        <v>15870937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1244</v>
      </c>
      <c r="H1480" s="122" t="s">
        <v>421</v>
      </c>
      <c r="I1480" s="122"/>
      <c r="J1480" s="122"/>
      <c r="K1480" s="122"/>
      <c r="L1480" s="122"/>
      <c r="M1480" s="74">
        <v>7935469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1244</v>
      </c>
      <c r="H1481" s="122" t="s">
        <v>455</v>
      </c>
      <c r="I1481" s="122"/>
      <c r="J1481" s="122"/>
      <c r="K1481" s="122"/>
      <c r="L1481" s="122"/>
      <c r="M1481" s="74">
        <v>7935470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1244</v>
      </c>
      <c r="H1482" s="122" t="s">
        <v>320</v>
      </c>
      <c r="I1482" s="122"/>
      <c r="J1482" s="122"/>
      <c r="K1482" s="122"/>
      <c r="L1482" s="122"/>
      <c r="M1482" s="74">
        <v>11109656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1244</v>
      </c>
      <c r="H1483" s="122" t="s">
        <v>321</v>
      </c>
      <c r="I1483" s="122"/>
      <c r="J1483" s="122"/>
      <c r="K1483" s="122"/>
      <c r="L1483" s="122"/>
      <c r="M1483" s="74">
        <v>11903203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1244</v>
      </c>
      <c r="H1484" s="122" t="s">
        <v>416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509</v>
      </c>
      <c r="E1485" s="73">
        <v>42515</v>
      </c>
      <c r="F1485" s="76" t="s">
        <v>1393</v>
      </c>
      <c r="G1485" s="265" t="s">
        <v>1394</v>
      </c>
      <c r="H1485" s="122" t="s">
        <v>188</v>
      </c>
      <c r="I1485" s="122"/>
      <c r="J1485" s="122"/>
      <c r="K1485" s="122"/>
      <c r="L1485" s="122"/>
      <c r="M1485" s="74">
        <v>10648600</v>
      </c>
      <c r="N1485" s="75" t="s">
        <v>241</v>
      </c>
      <c r="O1485" s="75" t="s">
        <v>203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509</v>
      </c>
      <c r="E1486" s="73">
        <v>42515</v>
      </c>
      <c r="F1486" s="76" t="s">
        <v>1395</v>
      </c>
      <c r="G1486" s="265" t="s">
        <v>1394</v>
      </c>
      <c r="H1486" s="122" t="s">
        <v>188</v>
      </c>
      <c r="I1486" s="122"/>
      <c r="J1486" s="122"/>
      <c r="K1486" s="122"/>
      <c r="L1486" s="122"/>
      <c r="M1486" s="74">
        <v>532430</v>
      </c>
      <c r="N1486" s="75" t="s">
        <v>19</v>
      </c>
      <c r="O1486" s="75" t="s">
        <v>203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42516</v>
      </c>
      <c r="D1487" s="73" t="s">
        <v>510</v>
      </c>
      <c r="E1487" s="73">
        <v>42516</v>
      </c>
      <c r="F1487" s="76" t="s">
        <v>1396</v>
      </c>
      <c r="G1487" s="265" t="s">
        <v>1397</v>
      </c>
      <c r="H1487" s="122" t="s">
        <v>1398</v>
      </c>
      <c r="I1487" s="122"/>
      <c r="J1487" s="122"/>
      <c r="K1487" s="122"/>
      <c r="L1487" s="122"/>
      <c r="M1487" s="74">
        <v>9090909</v>
      </c>
      <c r="N1487" s="75" t="s">
        <v>654</v>
      </c>
      <c r="O1487" s="75" t="s">
        <v>203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42516</v>
      </c>
      <c r="D1488" s="73" t="s">
        <v>510</v>
      </c>
      <c r="E1488" s="73">
        <v>42516</v>
      </c>
      <c r="F1488" s="76" t="s">
        <v>1399</v>
      </c>
      <c r="G1488" s="265" t="s">
        <v>1397</v>
      </c>
      <c r="H1488" s="122" t="s">
        <v>1398</v>
      </c>
      <c r="I1488" s="122"/>
      <c r="J1488" s="122"/>
      <c r="K1488" s="122"/>
      <c r="L1488" s="122"/>
      <c r="M1488" s="74">
        <v>909091</v>
      </c>
      <c r="N1488" s="75" t="s">
        <v>19</v>
      </c>
      <c r="O1488" s="75" t="s">
        <v>203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42517</v>
      </c>
      <c r="D1489" s="73" t="s">
        <v>761</v>
      </c>
      <c r="E1489" s="73">
        <v>42517</v>
      </c>
      <c r="F1489" s="76" t="s">
        <v>462</v>
      </c>
      <c r="G1489" s="265" t="s">
        <v>1400</v>
      </c>
      <c r="H1489" s="122" t="s">
        <v>828</v>
      </c>
      <c r="I1489" s="122"/>
      <c r="J1489" s="122"/>
      <c r="K1489" s="122"/>
      <c r="L1489" s="122"/>
      <c r="M1489" s="74">
        <v>1186000</v>
      </c>
      <c r="N1489" s="75" t="s">
        <v>654</v>
      </c>
      <c r="O1489" s="75" t="s">
        <v>203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42517</v>
      </c>
      <c r="D1490" s="73" t="s">
        <v>762</v>
      </c>
      <c r="E1490" s="73">
        <v>42517</v>
      </c>
      <c r="F1490" s="76" t="s">
        <v>1195</v>
      </c>
      <c r="G1490" s="265" t="s">
        <v>1244</v>
      </c>
      <c r="H1490" s="122" t="s">
        <v>1401</v>
      </c>
      <c r="I1490" s="122"/>
      <c r="J1490" s="122"/>
      <c r="K1490" s="122"/>
      <c r="L1490" s="122"/>
      <c r="M1490" s="74">
        <v>24000000</v>
      </c>
      <c r="N1490" s="75" t="s">
        <v>54</v>
      </c>
      <c r="O1490" s="75" t="s">
        <v>203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42517</v>
      </c>
      <c r="D1491" s="73" t="s">
        <v>17</v>
      </c>
      <c r="E1491" s="73">
        <v>42517</v>
      </c>
      <c r="F1491" s="76" t="s">
        <v>1194</v>
      </c>
      <c r="G1491" s="265" t="s">
        <v>1244</v>
      </c>
      <c r="H1491" s="122" t="s">
        <v>325</v>
      </c>
      <c r="I1491" s="122"/>
      <c r="J1491" s="122"/>
      <c r="K1491" s="122"/>
      <c r="L1491" s="122"/>
      <c r="M1491" s="74">
        <v>11912604</v>
      </c>
      <c r="N1491" s="75" t="s">
        <v>239</v>
      </c>
      <c r="O1491" s="75" t="s">
        <v>54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42517</v>
      </c>
      <c r="D1492" s="73" t="s">
        <v>17</v>
      </c>
      <c r="E1492" s="73">
        <v>42517</v>
      </c>
      <c r="F1492" s="76" t="s">
        <v>1194</v>
      </c>
      <c r="G1492" s="265" t="s">
        <v>1244</v>
      </c>
      <c r="H1492" s="122" t="s">
        <v>323</v>
      </c>
      <c r="I1492" s="122"/>
      <c r="J1492" s="122"/>
      <c r="K1492" s="122"/>
      <c r="L1492" s="122"/>
      <c r="M1492" s="74">
        <v>11912604</v>
      </c>
      <c r="N1492" s="75" t="s">
        <v>239</v>
      </c>
      <c r="O1492" s="75" t="s">
        <v>54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42520</v>
      </c>
      <c r="D1493" s="73" t="s">
        <v>763</v>
      </c>
      <c r="E1493" s="73">
        <v>42520</v>
      </c>
      <c r="F1493" s="76" t="s">
        <v>1273</v>
      </c>
      <c r="G1493" s="265" t="s">
        <v>1402</v>
      </c>
      <c r="H1493" s="122" t="s">
        <v>83</v>
      </c>
      <c r="I1493" s="122"/>
      <c r="J1493" s="122"/>
      <c r="K1493" s="122"/>
      <c r="L1493" s="122"/>
      <c r="M1493" s="74">
        <v>6379636</v>
      </c>
      <c r="N1493" s="75" t="s">
        <v>241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42520</v>
      </c>
      <c r="D1494" s="73" t="s">
        <v>763</v>
      </c>
      <c r="E1494" s="73">
        <v>42520</v>
      </c>
      <c r="F1494" s="76" t="s">
        <v>1275</v>
      </c>
      <c r="G1494" s="265" t="s">
        <v>1402</v>
      </c>
      <c r="H1494" s="122" t="s">
        <v>83</v>
      </c>
      <c r="I1494" s="122"/>
      <c r="J1494" s="122"/>
      <c r="K1494" s="122"/>
      <c r="L1494" s="122"/>
      <c r="M1494" s="74">
        <v>637964</v>
      </c>
      <c r="N1494" s="75" t="s">
        <v>19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42521</v>
      </c>
      <c r="D1495" s="73" t="s">
        <v>764</v>
      </c>
      <c r="E1495" s="73">
        <v>42521</v>
      </c>
      <c r="F1495" s="76" t="s">
        <v>1403</v>
      </c>
      <c r="G1495" s="265" t="s">
        <v>1404</v>
      </c>
      <c r="H1495" s="122" t="s">
        <v>1405</v>
      </c>
      <c r="I1495" s="122"/>
      <c r="J1495" s="122"/>
      <c r="K1495" s="122"/>
      <c r="L1495" s="122"/>
      <c r="M1495" s="74">
        <v>3000000</v>
      </c>
      <c r="N1495" s="75" t="s">
        <v>241</v>
      </c>
      <c r="O1495" s="75" t="s">
        <v>203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42521</v>
      </c>
      <c r="D1496" s="73" t="s">
        <v>764</v>
      </c>
      <c r="E1496" s="73">
        <v>42521</v>
      </c>
      <c r="F1496" s="76" t="s">
        <v>1406</v>
      </c>
      <c r="G1496" s="265" t="s">
        <v>1404</v>
      </c>
      <c r="H1496" s="122" t="s">
        <v>1405</v>
      </c>
      <c r="I1496" s="122"/>
      <c r="J1496" s="122"/>
      <c r="K1496" s="122"/>
      <c r="L1496" s="122"/>
      <c r="M1496" s="74">
        <v>300000</v>
      </c>
      <c r="N1496" s="75" t="s">
        <v>19</v>
      </c>
      <c r="O1496" s="75" t="s">
        <v>203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42521</v>
      </c>
      <c r="D1497" s="73" t="s">
        <v>765</v>
      </c>
      <c r="E1497" s="73">
        <v>42521</v>
      </c>
      <c r="F1497" s="76" t="s">
        <v>1195</v>
      </c>
      <c r="G1497" s="265" t="s">
        <v>1244</v>
      </c>
      <c r="H1497" s="122" t="s">
        <v>271</v>
      </c>
      <c r="I1497" s="122"/>
      <c r="J1497" s="122"/>
      <c r="K1497" s="122"/>
      <c r="L1497" s="122"/>
      <c r="M1497" s="74">
        <v>62000000</v>
      </c>
      <c r="N1497" s="75" t="s">
        <v>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42521</v>
      </c>
      <c r="D1498" s="73" t="s">
        <v>17</v>
      </c>
      <c r="E1498" s="73">
        <v>42521</v>
      </c>
      <c r="F1498" s="76" t="s">
        <v>1407</v>
      </c>
      <c r="G1498" s="265" t="s">
        <v>1244</v>
      </c>
      <c r="H1498" s="122" t="s">
        <v>648</v>
      </c>
      <c r="I1498" s="122"/>
      <c r="J1498" s="122"/>
      <c r="K1498" s="122"/>
      <c r="L1498" s="122"/>
      <c r="M1498" s="74">
        <v>61262630</v>
      </c>
      <c r="N1498" s="75" t="s">
        <v>18</v>
      </c>
      <c r="O1498" s="75" t="s">
        <v>54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42521</v>
      </c>
      <c r="D1499" s="73" t="s">
        <v>17</v>
      </c>
      <c r="E1499" s="73">
        <v>42521</v>
      </c>
      <c r="F1499" s="76" t="s">
        <v>34</v>
      </c>
      <c r="G1499" s="265" t="s">
        <v>1244</v>
      </c>
      <c r="H1499" s="122"/>
      <c r="I1499" s="122"/>
      <c r="J1499" s="122"/>
      <c r="K1499" s="122"/>
      <c r="L1499" s="122"/>
      <c r="M1499" s="74">
        <v>50631</v>
      </c>
      <c r="N1499" s="75" t="s">
        <v>241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42521</v>
      </c>
      <c r="D1500" s="73" t="s">
        <v>17</v>
      </c>
      <c r="E1500" s="73">
        <v>42521</v>
      </c>
      <c r="F1500" s="76" t="s">
        <v>35</v>
      </c>
      <c r="G1500" s="265" t="s">
        <v>1244</v>
      </c>
      <c r="H1500" s="122"/>
      <c r="I1500" s="122"/>
      <c r="J1500" s="122"/>
      <c r="K1500" s="122"/>
      <c r="L1500" s="122"/>
      <c r="M1500" s="74">
        <v>5063</v>
      </c>
      <c r="N1500" s="75" t="s">
        <v>19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6</v>
      </c>
      <c r="C1501" s="73">
        <v>42531</v>
      </c>
      <c r="D1501" s="73" t="s">
        <v>770</v>
      </c>
      <c r="E1501" s="73">
        <v>42531</v>
      </c>
      <c r="F1501" s="76" t="s">
        <v>1186</v>
      </c>
      <c r="G1501" s="265" t="s">
        <v>1408</v>
      </c>
      <c r="H1501" s="122" t="s">
        <v>828</v>
      </c>
      <c r="I1501" s="122"/>
      <c r="J1501" s="122"/>
      <c r="K1501" s="122"/>
      <c r="L1501" s="122"/>
      <c r="M1501" s="74">
        <v>2588000</v>
      </c>
      <c r="N1501" s="75" t="s">
        <v>654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6</v>
      </c>
      <c r="C1502" s="73">
        <v>42531</v>
      </c>
      <c r="D1502" s="73" t="s">
        <v>775</v>
      </c>
      <c r="E1502" s="73">
        <v>42531</v>
      </c>
      <c r="F1502" s="76" t="s">
        <v>1409</v>
      </c>
      <c r="G1502" s="265" t="s">
        <v>1410</v>
      </c>
      <c r="H1502" s="122" t="s">
        <v>782</v>
      </c>
      <c r="I1502" s="122"/>
      <c r="J1502" s="122"/>
      <c r="K1502" s="122"/>
      <c r="L1502" s="122"/>
      <c r="M1502" s="74">
        <v>7272727</v>
      </c>
      <c r="N1502" s="75" t="s">
        <v>241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6</v>
      </c>
      <c r="C1503" s="73">
        <v>42531</v>
      </c>
      <c r="D1503" s="73" t="s">
        <v>775</v>
      </c>
      <c r="E1503" s="73">
        <v>42531</v>
      </c>
      <c r="F1503" s="76" t="s">
        <v>1411</v>
      </c>
      <c r="G1503" s="265" t="s">
        <v>1410</v>
      </c>
      <c r="H1503" s="122" t="s">
        <v>782</v>
      </c>
      <c r="I1503" s="122"/>
      <c r="J1503" s="122"/>
      <c r="K1503" s="122"/>
      <c r="L1503" s="122"/>
      <c r="M1503" s="74">
        <v>727273</v>
      </c>
      <c r="N1503" s="75" t="s">
        <v>19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6</v>
      </c>
      <c r="C1504" s="73">
        <v>42537</v>
      </c>
      <c r="D1504" s="73" t="s">
        <v>777</v>
      </c>
      <c r="E1504" s="73">
        <v>42537</v>
      </c>
      <c r="F1504" s="76" t="s">
        <v>1412</v>
      </c>
      <c r="G1504" s="265" t="s">
        <v>1413</v>
      </c>
      <c r="H1504" s="122" t="s">
        <v>279</v>
      </c>
      <c r="I1504" s="122"/>
      <c r="J1504" s="122"/>
      <c r="K1504" s="122"/>
      <c r="L1504" s="122"/>
      <c r="M1504" s="74">
        <v>421656</v>
      </c>
      <c r="N1504" s="75" t="s">
        <v>241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6</v>
      </c>
      <c r="C1505" s="73">
        <v>42537</v>
      </c>
      <c r="D1505" s="73" t="s">
        <v>777</v>
      </c>
      <c r="E1505" s="73">
        <v>42537</v>
      </c>
      <c r="F1505" s="76" t="s">
        <v>1414</v>
      </c>
      <c r="G1505" s="265" t="s">
        <v>1415</v>
      </c>
      <c r="H1505" s="122" t="s">
        <v>279</v>
      </c>
      <c r="I1505" s="122"/>
      <c r="J1505" s="122"/>
      <c r="K1505" s="122"/>
      <c r="L1505" s="122"/>
      <c r="M1505" s="74">
        <v>42165</v>
      </c>
      <c r="N1505" s="75" t="s">
        <v>19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6</v>
      </c>
      <c r="C1506" s="73">
        <v>42538</v>
      </c>
      <c r="D1506" s="73" t="s">
        <v>21</v>
      </c>
      <c r="E1506" s="73">
        <v>42538</v>
      </c>
      <c r="F1506" s="76" t="s">
        <v>1416</v>
      </c>
      <c r="G1506" s="265" t="s">
        <v>1244</v>
      </c>
      <c r="H1506" s="122"/>
      <c r="I1506" s="122"/>
      <c r="J1506" s="122"/>
      <c r="K1506" s="122">
        <v>88000</v>
      </c>
      <c r="L1506" s="122">
        <v>22305</v>
      </c>
      <c r="M1506" s="74">
        <v>1962840000</v>
      </c>
      <c r="N1506" s="75" t="s">
        <v>1242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6</v>
      </c>
      <c r="C1507" s="73">
        <v>42538</v>
      </c>
      <c r="D1507" s="73" t="s">
        <v>17</v>
      </c>
      <c r="E1507" s="73">
        <v>42538</v>
      </c>
      <c r="F1507" s="76" t="s">
        <v>1417</v>
      </c>
      <c r="G1507" s="265" t="s">
        <v>1244</v>
      </c>
      <c r="H1507" s="122" t="s">
        <v>1058</v>
      </c>
      <c r="I1507" s="122"/>
      <c r="J1507" s="122"/>
      <c r="K1507" s="122">
        <v>88000</v>
      </c>
      <c r="L1507" s="122">
        <v>22305</v>
      </c>
      <c r="M1507" s="74">
        <v>1962840000</v>
      </c>
      <c r="N1507" s="75" t="s">
        <v>227</v>
      </c>
      <c r="O1507" s="75" t="s">
        <v>1242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6</v>
      </c>
      <c r="C1508" s="73">
        <v>42538</v>
      </c>
      <c r="D1508" s="73" t="s">
        <v>78</v>
      </c>
      <c r="E1508" s="73">
        <v>42538</v>
      </c>
      <c r="F1508" s="76" t="s">
        <v>1418</v>
      </c>
      <c r="G1508" s="265" t="s">
        <v>1244</v>
      </c>
      <c r="H1508" s="122" t="s">
        <v>1058</v>
      </c>
      <c r="I1508" s="122"/>
      <c r="J1508" s="122"/>
      <c r="K1508" s="122"/>
      <c r="L1508" s="122"/>
      <c r="M1508" s="74">
        <v>19800000</v>
      </c>
      <c r="N1508" s="75" t="s">
        <v>227</v>
      </c>
      <c r="O1508" s="75" t="s">
        <v>99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42538</v>
      </c>
      <c r="D1509" s="73" t="s">
        <v>21</v>
      </c>
      <c r="E1509" s="73">
        <v>42538</v>
      </c>
      <c r="F1509" s="76" t="s">
        <v>1268</v>
      </c>
      <c r="G1509" s="265" t="s">
        <v>1244</v>
      </c>
      <c r="H1509" s="122" t="s">
        <v>1201</v>
      </c>
      <c r="I1509" s="122"/>
      <c r="J1509" s="122"/>
      <c r="K1509" s="122"/>
      <c r="L1509" s="122"/>
      <c r="M1509" s="74">
        <v>1975000000</v>
      </c>
      <c r="N1509" s="75" t="s">
        <v>54</v>
      </c>
      <c r="O1509" s="75" t="s">
        <v>212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42538</v>
      </c>
      <c r="D1510" s="73" t="s">
        <v>17</v>
      </c>
      <c r="E1510" s="73">
        <v>42538</v>
      </c>
      <c r="F1510" s="76" t="s">
        <v>1419</v>
      </c>
      <c r="G1510" s="265" t="s">
        <v>1244</v>
      </c>
      <c r="H1510" s="122" t="s">
        <v>1058</v>
      </c>
      <c r="I1510" s="122"/>
      <c r="J1510" s="122"/>
      <c r="K1510" s="122"/>
      <c r="L1510" s="122"/>
      <c r="M1510" s="74">
        <v>7210682</v>
      </c>
      <c r="N1510" s="75" t="s">
        <v>239</v>
      </c>
      <c r="O1510" s="75" t="s">
        <v>54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42542</v>
      </c>
      <c r="D1511" s="73" t="s">
        <v>779</v>
      </c>
      <c r="E1511" s="73">
        <v>42542</v>
      </c>
      <c r="F1511" s="76" t="s">
        <v>1195</v>
      </c>
      <c r="G1511" s="265" t="s">
        <v>1244</v>
      </c>
      <c r="H1511" s="122" t="s">
        <v>271</v>
      </c>
      <c r="I1511" s="122"/>
      <c r="J1511" s="122"/>
      <c r="K1511" s="122"/>
      <c r="L1511" s="122"/>
      <c r="M1511" s="74">
        <v>100000000</v>
      </c>
      <c r="N1511" s="75" t="s">
        <v>54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42542</v>
      </c>
      <c r="D1512" s="73" t="s">
        <v>779</v>
      </c>
      <c r="E1512" s="73">
        <v>42542</v>
      </c>
      <c r="F1512" s="76" t="s">
        <v>1195</v>
      </c>
      <c r="G1512" s="265" t="s">
        <v>1244</v>
      </c>
      <c r="H1512" s="122" t="s">
        <v>271</v>
      </c>
      <c r="I1512" s="122"/>
      <c r="J1512" s="122"/>
      <c r="K1512" s="122"/>
      <c r="L1512" s="122"/>
      <c r="M1512" s="74">
        <v>70000000</v>
      </c>
      <c r="N1512" s="75" t="s">
        <v>54</v>
      </c>
      <c r="O1512" s="75" t="s">
        <v>203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42542</v>
      </c>
      <c r="D1513" s="73" t="s">
        <v>17</v>
      </c>
      <c r="E1513" s="73">
        <v>42542</v>
      </c>
      <c r="F1513" s="76" t="s">
        <v>1194</v>
      </c>
      <c r="G1513" s="265" t="s">
        <v>1244</v>
      </c>
      <c r="H1513" s="122" t="s">
        <v>313</v>
      </c>
      <c r="I1513" s="122"/>
      <c r="J1513" s="122"/>
      <c r="K1513" s="122"/>
      <c r="L1513" s="122"/>
      <c r="M1513" s="74">
        <v>8187032</v>
      </c>
      <c r="N1513" s="75" t="s">
        <v>239</v>
      </c>
      <c r="O1513" s="75" t="s">
        <v>54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42542</v>
      </c>
      <c r="D1514" s="73" t="s">
        <v>17</v>
      </c>
      <c r="E1514" s="73">
        <v>42542</v>
      </c>
      <c r="F1514" s="76" t="s">
        <v>1194</v>
      </c>
      <c r="G1514" s="265" t="s">
        <v>1244</v>
      </c>
      <c r="H1514" s="122" t="s">
        <v>314</v>
      </c>
      <c r="I1514" s="122"/>
      <c r="J1514" s="122"/>
      <c r="K1514" s="122"/>
      <c r="L1514" s="122"/>
      <c r="M1514" s="74">
        <v>16374064</v>
      </c>
      <c r="N1514" s="75" t="s">
        <v>239</v>
      </c>
      <c r="O1514" s="75" t="s">
        <v>54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42542</v>
      </c>
      <c r="D1515" s="73" t="s">
        <v>17</v>
      </c>
      <c r="E1515" s="73">
        <v>42542</v>
      </c>
      <c r="F1515" s="76" t="s">
        <v>1194</v>
      </c>
      <c r="G1515" s="265" t="s">
        <v>1244</v>
      </c>
      <c r="H1515" s="122" t="s">
        <v>316</v>
      </c>
      <c r="I1515" s="122"/>
      <c r="J1515" s="122"/>
      <c r="K1515" s="122"/>
      <c r="L1515" s="122"/>
      <c r="M1515" s="74">
        <v>13099251</v>
      </c>
      <c r="N1515" s="75" t="s">
        <v>239</v>
      </c>
      <c r="O1515" s="75" t="s">
        <v>54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42542</v>
      </c>
      <c r="D1516" s="73" t="s">
        <v>17</v>
      </c>
      <c r="E1516" s="73">
        <v>42542</v>
      </c>
      <c r="F1516" s="76" t="s">
        <v>1194</v>
      </c>
      <c r="G1516" s="265" t="s">
        <v>1244</v>
      </c>
      <c r="H1516" s="122" t="s">
        <v>315</v>
      </c>
      <c r="I1516" s="122"/>
      <c r="J1516" s="122"/>
      <c r="K1516" s="122"/>
      <c r="L1516" s="122"/>
      <c r="M1516" s="74">
        <v>12280547</v>
      </c>
      <c r="N1516" s="75" t="s">
        <v>239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42542</v>
      </c>
      <c r="D1517" s="73" t="s">
        <v>17</v>
      </c>
      <c r="E1517" s="73">
        <v>42542</v>
      </c>
      <c r="F1517" s="76" t="s">
        <v>1194</v>
      </c>
      <c r="G1517" s="265" t="s">
        <v>1244</v>
      </c>
      <c r="H1517" s="122" t="s">
        <v>317</v>
      </c>
      <c r="I1517" s="122"/>
      <c r="J1517" s="122"/>
      <c r="K1517" s="122"/>
      <c r="L1517" s="122"/>
      <c r="M1517" s="74">
        <v>8187032</v>
      </c>
      <c r="N1517" s="75" t="s">
        <v>239</v>
      </c>
      <c r="O1517" s="75" t="s">
        <v>54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42542</v>
      </c>
      <c r="D1518" s="73" t="s">
        <v>17</v>
      </c>
      <c r="E1518" s="73">
        <v>42542</v>
      </c>
      <c r="F1518" s="76" t="s">
        <v>1194</v>
      </c>
      <c r="G1518" s="265" t="s">
        <v>1244</v>
      </c>
      <c r="H1518" s="122" t="s">
        <v>318</v>
      </c>
      <c r="I1518" s="122"/>
      <c r="J1518" s="122"/>
      <c r="K1518" s="122"/>
      <c r="L1518" s="122"/>
      <c r="M1518" s="74">
        <v>12280547</v>
      </c>
      <c r="N1518" s="75" t="s">
        <v>239</v>
      </c>
      <c r="O1518" s="75" t="s">
        <v>54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42542</v>
      </c>
      <c r="D1519" s="73" t="s">
        <v>17</v>
      </c>
      <c r="E1519" s="73">
        <v>42542</v>
      </c>
      <c r="F1519" s="76" t="s">
        <v>1194</v>
      </c>
      <c r="G1519" s="265" t="s">
        <v>1244</v>
      </c>
      <c r="H1519" s="122" t="s">
        <v>319</v>
      </c>
      <c r="I1519" s="122"/>
      <c r="J1519" s="122"/>
      <c r="K1519" s="122"/>
      <c r="L1519" s="122"/>
      <c r="M1519" s="74">
        <v>16374064</v>
      </c>
      <c r="N1519" s="75" t="s">
        <v>239</v>
      </c>
      <c r="O1519" s="75" t="s">
        <v>54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42542</v>
      </c>
      <c r="D1520" s="73" t="s">
        <v>17</v>
      </c>
      <c r="E1520" s="73">
        <v>42542</v>
      </c>
      <c r="F1520" s="76" t="s">
        <v>1194</v>
      </c>
      <c r="G1520" s="265" t="s">
        <v>1244</v>
      </c>
      <c r="H1520" s="122" t="s">
        <v>320</v>
      </c>
      <c r="I1520" s="122"/>
      <c r="J1520" s="122"/>
      <c r="K1520" s="122"/>
      <c r="L1520" s="122"/>
      <c r="M1520" s="74">
        <v>11461845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17</v>
      </c>
      <c r="E1521" s="73">
        <v>42542</v>
      </c>
      <c r="F1521" s="76" t="s">
        <v>1194</v>
      </c>
      <c r="G1521" s="265" t="s">
        <v>1244</v>
      </c>
      <c r="H1521" s="122" t="s">
        <v>321</v>
      </c>
      <c r="I1521" s="122"/>
      <c r="J1521" s="122"/>
      <c r="K1521" s="122"/>
      <c r="L1521" s="122"/>
      <c r="M1521" s="74">
        <v>12280547</v>
      </c>
      <c r="N1521" s="75" t="s">
        <v>239</v>
      </c>
      <c r="O1521" s="75" t="s">
        <v>54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17</v>
      </c>
      <c r="E1522" s="73">
        <v>42542</v>
      </c>
      <c r="F1522" s="76" t="s">
        <v>1194</v>
      </c>
      <c r="G1522" s="265" t="s">
        <v>1244</v>
      </c>
      <c r="H1522" s="122" t="s">
        <v>325</v>
      </c>
      <c r="I1522" s="122"/>
      <c r="J1522" s="122"/>
      <c r="K1522" s="122"/>
      <c r="L1522" s="122"/>
      <c r="M1522" s="74">
        <v>12280547</v>
      </c>
      <c r="N1522" s="75" t="s">
        <v>239</v>
      </c>
      <c r="O1522" s="75" t="s">
        <v>54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1244</v>
      </c>
      <c r="H1523" s="122" t="s">
        <v>416</v>
      </c>
      <c r="I1523" s="122"/>
      <c r="J1523" s="122"/>
      <c r="K1523" s="122"/>
      <c r="L1523" s="122"/>
      <c r="M1523" s="74">
        <v>12280547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1244</v>
      </c>
      <c r="H1524" s="122" t="s">
        <v>421</v>
      </c>
      <c r="I1524" s="122"/>
      <c r="J1524" s="122"/>
      <c r="K1524" s="122"/>
      <c r="L1524" s="122"/>
      <c r="M1524" s="74">
        <v>8187032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1244</v>
      </c>
      <c r="H1525" s="122" t="s">
        <v>455</v>
      </c>
      <c r="I1525" s="122"/>
      <c r="J1525" s="122"/>
      <c r="K1525" s="122"/>
      <c r="L1525" s="122"/>
      <c r="M1525" s="74">
        <v>8187032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42543</v>
      </c>
      <c r="D1526" s="73" t="s">
        <v>21</v>
      </c>
      <c r="E1526" s="73">
        <v>42543</v>
      </c>
      <c r="F1526" s="76" t="s">
        <v>1420</v>
      </c>
      <c r="G1526" s="265" t="s">
        <v>1244</v>
      </c>
      <c r="H1526" s="122" t="s">
        <v>1421</v>
      </c>
      <c r="I1526" s="122"/>
      <c r="J1526" s="122"/>
      <c r="K1526" s="122">
        <v>88000</v>
      </c>
      <c r="L1526" s="122">
        <v>22290</v>
      </c>
      <c r="M1526" s="74">
        <v>1961520000</v>
      </c>
      <c r="N1526" s="75" t="s">
        <v>54</v>
      </c>
      <c r="O1526" s="75" t="s">
        <v>227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42543</v>
      </c>
      <c r="D1527" s="73" t="s">
        <v>17</v>
      </c>
      <c r="E1527" s="73">
        <v>42543</v>
      </c>
      <c r="F1527" s="76" t="s">
        <v>1194</v>
      </c>
      <c r="G1527" s="265" t="s">
        <v>1244</v>
      </c>
      <c r="H1527" s="122" t="s">
        <v>323</v>
      </c>
      <c r="I1527" s="122"/>
      <c r="J1527" s="122"/>
      <c r="K1527" s="122"/>
      <c r="L1527" s="122"/>
      <c r="M1527" s="74">
        <v>12280547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42543</v>
      </c>
      <c r="D1528" s="73" t="s">
        <v>17</v>
      </c>
      <c r="E1528" s="73">
        <v>42543</v>
      </c>
      <c r="F1528" s="76" t="s">
        <v>1422</v>
      </c>
      <c r="G1528" s="265" t="s">
        <v>1244</v>
      </c>
      <c r="H1528" s="122" t="s">
        <v>1201</v>
      </c>
      <c r="I1528" s="122"/>
      <c r="J1528" s="122"/>
      <c r="K1528" s="122"/>
      <c r="L1528" s="122"/>
      <c r="M1528" s="74">
        <v>8000000</v>
      </c>
      <c r="N1528" s="75" t="s">
        <v>212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42543</v>
      </c>
      <c r="D1529" s="73" t="s">
        <v>17</v>
      </c>
      <c r="E1529" s="73">
        <v>42543</v>
      </c>
      <c r="F1529" s="76" t="s">
        <v>1423</v>
      </c>
      <c r="G1529" s="265" t="s">
        <v>1244</v>
      </c>
      <c r="H1529" s="122" t="s">
        <v>1201</v>
      </c>
      <c r="I1529" s="122"/>
      <c r="J1529" s="122"/>
      <c r="K1529" s="122"/>
      <c r="L1529" s="122"/>
      <c r="M1529" s="74">
        <v>7000000</v>
      </c>
      <c r="N1529" s="75" t="s">
        <v>212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42543</v>
      </c>
      <c r="D1530" s="73" t="s">
        <v>17</v>
      </c>
      <c r="E1530" s="73">
        <v>42543</v>
      </c>
      <c r="F1530" s="76" t="s">
        <v>23</v>
      </c>
      <c r="G1530" s="265" t="s">
        <v>1244</v>
      </c>
      <c r="H1530" s="122"/>
      <c r="I1530" s="122"/>
      <c r="J1530" s="122"/>
      <c r="K1530" s="122"/>
      <c r="L1530" s="122"/>
      <c r="M1530" s="74">
        <v>20000</v>
      </c>
      <c r="N1530" s="75" t="s">
        <v>241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42543</v>
      </c>
      <c r="D1531" s="73" t="s">
        <v>17</v>
      </c>
      <c r="E1531" s="73">
        <v>42543</v>
      </c>
      <c r="F1531" s="76" t="s">
        <v>24</v>
      </c>
      <c r="G1531" s="265" t="s">
        <v>1244</v>
      </c>
      <c r="H1531" s="122"/>
      <c r="I1531" s="122"/>
      <c r="J1531" s="122"/>
      <c r="K1531" s="122"/>
      <c r="L1531" s="122"/>
      <c r="M1531" s="74">
        <v>2000</v>
      </c>
      <c r="N1531" s="75" t="s">
        <v>19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42544</v>
      </c>
      <c r="D1532" s="73" t="s">
        <v>22</v>
      </c>
      <c r="E1532" s="73">
        <v>42544</v>
      </c>
      <c r="F1532" s="76" t="s">
        <v>1193</v>
      </c>
      <c r="G1532" s="265" t="s">
        <v>1244</v>
      </c>
      <c r="H1532" s="122" t="s">
        <v>271</v>
      </c>
      <c r="I1532" s="122"/>
      <c r="J1532" s="122"/>
      <c r="K1532" s="122"/>
      <c r="L1532" s="122"/>
      <c r="M1532" s="74">
        <v>1960000000</v>
      </c>
      <c r="N1532" s="75" t="s">
        <v>203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42544</v>
      </c>
      <c r="D1533" s="73" t="s">
        <v>784</v>
      </c>
      <c r="E1533" s="73">
        <v>42544</v>
      </c>
      <c r="F1533" s="76" t="s">
        <v>1424</v>
      </c>
      <c r="G1533" s="265" t="s">
        <v>1244</v>
      </c>
      <c r="H1533" s="122" t="s">
        <v>1201</v>
      </c>
      <c r="I1533" s="122"/>
      <c r="J1533" s="122"/>
      <c r="K1533" s="122"/>
      <c r="L1533" s="122"/>
      <c r="M1533" s="74">
        <v>1960000000</v>
      </c>
      <c r="N1533" s="75" t="s">
        <v>212</v>
      </c>
      <c r="O1533" s="75" t="s">
        <v>203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42551</v>
      </c>
      <c r="D1534" s="73" t="s">
        <v>78</v>
      </c>
      <c r="E1534" s="73">
        <v>42515</v>
      </c>
      <c r="F1534" s="76" t="s">
        <v>739</v>
      </c>
      <c r="G1534" s="265" t="s">
        <v>1425</v>
      </c>
      <c r="H1534" s="122" t="s">
        <v>741</v>
      </c>
      <c r="I1534" s="122"/>
      <c r="J1534" s="122"/>
      <c r="K1534" s="122"/>
      <c r="L1534" s="122"/>
      <c r="M1534" s="74">
        <v>7403520</v>
      </c>
      <c r="N1534" s="75" t="s">
        <v>241</v>
      </c>
      <c r="O1534" s="75" t="s">
        <v>18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42551</v>
      </c>
      <c r="D1535" s="73" t="s">
        <v>78</v>
      </c>
      <c r="E1535" s="73">
        <v>42515</v>
      </c>
      <c r="F1535" s="76" t="s">
        <v>742</v>
      </c>
      <c r="G1535" s="265" t="s">
        <v>1425</v>
      </c>
      <c r="H1535" s="122" t="s">
        <v>741</v>
      </c>
      <c r="I1535" s="122"/>
      <c r="J1535" s="122"/>
      <c r="K1535" s="122"/>
      <c r="L1535" s="122"/>
      <c r="M1535" s="74">
        <v>740352</v>
      </c>
      <c r="N1535" s="75" t="s">
        <v>19</v>
      </c>
      <c r="O1535" s="75" t="s">
        <v>18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42551</v>
      </c>
      <c r="D1536" s="73" t="s">
        <v>78</v>
      </c>
      <c r="E1536" s="73">
        <v>42528</v>
      </c>
      <c r="F1536" s="76" t="s">
        <v>1426</v>
      </c>
      <c r="G1536" s="265" t="s">
        <v>1427</v>
      </c>
      <c r="H1536" s="122" t="s">
        <v>268</v>
      </c>
      <c r="I1536" s="122"/>
      <c r="J1536" s="122"/>
      <c r="K1536" s="122"/>
      <c r="L1536" s="122"/>
      <c r="M1536" s="74">
        <v>2172148100</v>
      </c>
      <c r="N1536" s="75" t="s">
        <v>654</v>
      </c>
      <c r="O1536" s="75" t="s">
        <v>18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42551</v>
      </c>
      <c r="D1537" s="73" t="s">
        <v>78</v>
      </c>
      <c r="E1537" s="73">
        <v>42528</v>
      </c>
      <c r="F1537" s="76" t="s">
        <v>1428</v>
      </c>
      <c r="G1537" s="265" t="s">
        <v>1427</v>
      </c>
      <c r="H1537" s="122" t="s">
        <v>268</v>
      </c>
      <c r="I1537" s="122"/>
      <c r="J1537" s="122"/>
      <c r="K1537" s="122"/>
      <c r="L1537" s="122"/>
      <c r="M1537" s="74">
        <v>217214810</v>
      </c>
      <c r="N1537" s="75" t="s">
        <v>19</v>
      </c>
      <c r="O1537" s="75" t="s">
        <v>18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42551</v>
      </c>
      <c r="D1538" s="73" t="s">
        <v>78</v>
      </c>
      <c r="E1538" s="73">
        <v>42531</v>
      </c>
      <c r="F1538" s="76" t="s">
        <v>1429</v>
      </c>
      <c r="G1538" s="265" t="s">
        <v>1430</v>
      </c>
      <c r="H1538" s="122" t="s">
        <v>138</v>
      </c>
      <c r="I1538" s="122"/>
      <c r="J1538" s="122"/>
      <c r="K1538" s="122"/>
      <c r="L1538" s="122"/>
      <c r="M1538" s="74">
        <v>1515073526</v>
      </c>
      <c r="N1538" s="75" t="s">
        <v>654</v>
      </c>
      <c r="O1538" s="75" t="s">
        <v>18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42551</v>
      </c>
      <c r="D1539" s="73" t="s">
        <v>78</v>
      </c>
      <c r="E1539" s="73">
        <v>42531</v>
      </c>
      <c r="F1539" s="76" t="s">
        <v>1431</v>
      </c>
      <c r="G1539" s="265" t="s">
        <v>1430</v>
      </c>
      <c r="H1539" s="122" t="s">
        <v>138</v>
      </c>
      <c r="I1539" s="122"/>
      <c r="J1539" s="122"/>
      <c r="K1539" s="122"/>
      <c r="L1539" s="122"/>
      <c r="M1539" s="74">
        <v>151507353</v>
      </c>
      <c r="N1539" s="75" t="s">
        <v>19</v>
      </c>
      <c r="O1539" s="75" t="s">
        <v>18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42551</v>
      </c>
      <c r="D1540" s="73" t="s">
        <v>78</v>
      </c>
      <c r="E1540" s="73">
        <v>42471</v>
      </c>
      <c r="F1540" s="76" t="s">
        <v>1432</v>
      </c>
      <c r="G1540" s="265" t="s">
        <v>1433</v>
      </c>
      <c r="H1540" s="122" t="s">
        <v>648</v>
      </c>
      <c r="I1540" s="122"/>
      <c r="J1540" s="122"/>
      <c r="K1540" s="122"/>
      <c r="L1540" s="122"/>
      <c r="M1540" s="74">
        <v>46496600</v>
      </c>
      <c r="N1540" s="75" t="s">
        <v>241</v>
      </c>
      <c r="O1540" s="75" t="s">
        <v>18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42551</v>
      </c>
      <c r="D1541" s="73" t="s">
        <v>78</v>
      </c>
      <c r="E1541" s="73">
        <v>42471</v>
      </c>
      <c r="F1541" s="76" t="s">
        <v>1434</v>
      </c>
      <c r="G1541" s="265" t="s">
        <v>1433</v>
      </c>
      <c r="H1541" s="122" t="s">
        <v>648</v>
      </c>
      <c r="I1541" s="122"/>
      <c r="J1541" s="122"/>
      <c r="K1541" s="122"/>
      <c r="L1541" s="122"/>
      <c r="M1541" s="74">
        <v>4649660</v>
      </c>
      <c r="N1541" s="75" t="s">
        <v>19</v>
      </c>
      <c r="O1541" s="75" t="s">
        <v>18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42551</v>
      </c>
      <c r="D1542" s="73" t="s">
        <v>78</v>
      </c>
      <c r="E1542" s="73">
        <v>42486</v>
      </c>
      <c r="F1542" s="76" t="s">
        <v>1435</v>
      </c>
      <c r="G1542" s="265" t="s">
        <v>1436</v>
      </c>
      <c r="H1542" s="122" t="s">
        <v>648</v>
      </c>
      <c r="I1542" s="122"/>
      <c r="J1542" s="122"/>
      <c r="K1542" s="122"/>
      <c r="L1542" s="122"/>
      <c r="M1542" s="74">
        <v>37564400</v>
      </c>
      <c r="N1542" s="75" t="s">
        <v>241</v>
      </c>
      <c r="O1542" s="75" t="s">
        <v>18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42551</v>
      </c>
      <c r="D1543" s="73" t="s">
        <v>78</v>
      </c>
      <c r="E1543" s="73">
        <v>42486</v>
      </c>
      <c r="F1543" s="76" t="s">
        <v>1437</v>
      </c>
      <c r="G1543" s="265" t="s">
        <v>1436</v>
      </c>
      <c r="H1543" s="122" t="s">
        <v>648</v>
      </c>
      <c r="I1543" s="122"/>
      <c r="J1543" s="122"/>
      <c r="K1543" s="122"/>
      <c r="L1543" s="122"/>
      <c r="M1543" s="74">
        <v>3756440</v>
      </c>
      <c r="N1543" s="75" t="s">
        <v>19</v>
      </c>
      <c r="O1543" s="75" t="s">
        <v>18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42551</v>
      </c>
      <c r="D1544" s="73" t="s">
        <v>78</v>
      </c>
      <c r="E1544" s="73">
        <v>42501</v>
      </c>
      <c r="F1544" s="76" t="s">
        <v>1438</v>
      </c>
      <c r="G1544" s="265" t="s">
        <v>1439</v>
      </c>
      <c r="H1544" s="122" t="s">
        <v>648</v>
      </c>
      <c r="I1544" s="122"/>
      <c r="J1544" s="122"/>
      <c r="K1544" s="122"/>
      <c r="L1544" s="122"/>
      <c r="M1544" s="74">
        <v>27604000</v>
      </c>
      <c r="N1544" s="75" t="s">
        <v>241</v>
      </c>
      <c r="O1544" s="75" t="s">
        <v>18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42551</v>
      </c>
      <c r="D1545" s="73" t="s">
        <v>78</v>
      </c>
      <c r="E1545" s="73">
        <v>42501</v>
      </c>
      <c r="F1545" s="76" t="s">
        <v>1440</v>
      </c>
      <c r="G1545" s="265" t="s">
        <v>1439</v>
      </c>
      <c r="H1545" s="122" t="s">
        <v>648</v>
      </c>
      <c r="I1545" s="122"/>
      <c r="J1545" s="122"/>
      <c r="K1545" s="122"/>
      <c r="L1545" s="122"/>
      <c r="M1545" s="74">
        <v>2760400</v>
      </c>
      <c r="N1545" s="75" t="s">
        <v>19</v>
      </c>
      <c r="O1545" s="75" t="s">
        <v>18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42551</v>
      </c>
      <c r="D1546" s="73" t="s">
        <v>78</v>
      </c>
      <c r="E1546" s="73">
        <v>42516</v>
      </c>
      <c r="F1546" s="76" t="s">
        <v>1441</v>
      </c>
      <c r="G1546" s="265" t="s">
        <v>1442</v>
      </c>
      <c r="H1546" s="122" t="s">
        <v>648</v>
      </c>
      <c r="I1546" s="122"/>
      <c r="J1546" s="122"/>
      <c r="K1546" s="122"/>
      <c r="L1546" s="122"/>
      <c r="M1546" s="74">
        <v>28089300</v>
      </c>
      <c r="N1546" s="75" t="s">
        <v>241</v>
      </c>
      <c r="O1546" s="75" t="s">
        <v>18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42551</v>
      </c>
      <c r="D1547" s="73" t="s">
        <v>78</v>
      </c>
      <c r="E1547" s="73">
        <v>42516</v>
      </c>
      <c r="F1547" s="76" t="s">
        <v>1443</v>
      </c>
      <c r="G1547" s="265" t="s">
        <v>1442</v>
      </c>
      <c r="H1547" s="122" t="s">
        <v>648</v>
      </c>
      <c r="I1547" s="122"/>
      <c r="J1547" s="122"/>
      <c r="K1547" s="122"/>
      <c r="L1547" s="122"/>
      <c r="M1547" s="74">
        <v>2808930</v>
      </c>
      <c r="N1547" s="75" t="s">
        <v>19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42551</v>
      </c>
      <c r="D1548" s="73" t="s">
        <v>78</v>
      </c>
      <c r="E1548" s="73">
        <v>42551</v>
      </c>
      <c r="F1548" s="76" t="s">
        <v>1444</v>
      </c>
      <c r="G1548" s="265"/>
      <c r="H1548" s="122" t="s">
        <v>519</v>
      </c>
      <c r="I1548" s="122"/>
      <c r="J1548" s="122"/>
      <c r="K1548" s="122"/>
      <c r="L1548" s="122"/>
      <c r="M1548" s="74"/>
      <c r="N1548" s="75" t="s">
        <v>212</v>
      </c>
      <c r="O1548" s="75" t="s">
        <v>19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42551</v>
      </c>
      <c r="D1549" s="73" t="s">
        <v>792</v>
      </c>
      <c r="E1549" s="73">
        <v>42551</v>
      </c>
      <c r="F1549" s="76" t="s">
        <v>1445</v>
      </c>
      <c r="G1549" s="265"/>
      <c r="H1549" s="122" t="s">
        <v>430</v>
      </c>
      <c r="I1549" s="122"/>
      <c r="J1549" s="122"/>
      <c r="K1549" s="122"/>
      <c r="L1549" s="122"/>
      <c r="M1549" s="74">
        <v>1927273</v>
      </c>
      <c r="N1549" s="75" t="s">
        <v>241</v>
      </c>
      <c r="O1549" s="75" t="s">
        <v>203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42551</v>
      </c>
      <c r="D1550" s="73" t="s">
        <v>792</v>
      </c>
      <c r="E1550" s="73">
        <v>42551</v>
      </c>
      <c r="F1550" s="76" t="s">
        <v>1446</v>
      </c>
      <c r="G1550" s="265"/>
      <c r="H1550" s="122" t="s">
        <v>430</v>
      </c>
      <c r="I1550" s="122"/>
      <c r="J1550" s="122"/>
      <c r="K1550" s="122"/>
      <c r="L1550" s="122"/>
      <c r="M1550" s="74">
        <v>192727</v>
      </c>
      <c r="N1550" s="75" t="s">
        <v>19</v>
      </c>
      <c r="O1550" s="75" t="s">
        <v>203</v>
      </c>
      <c r="P1550" s="134" t="str">
        <f>IF(AND('331-CT'!$E$7=TH!H1550,OR(N1550="331",O1550="331")),"x","")</f>
        <v/>
      </c>
    </row>
    <row r="1551" spans="1:16" ht="18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122"/>
      <c r="J1551" s="122"/>
      <c r="K1551" s="122"/>
      <c r="L1551" s="122"/>
      <c r="M1551" s="74"/>
      <c r="N1551" s="75"/>
      <c r="O1551" s="75"/>
      <c r="P1551" s="134" t="str">
        <f>IF(AND('331-CT'!$E$7=TH!H1551,OR(N1551="331",O1551="331")),"x","")</f>
        <v/>
      </c>
    </row>
    <row r="1552" spans="1:16" ht="18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122"/>
      <c r="J1552" s="122"/>
      <c r="K1552" s="122"/>
      <c r="L1552" s="122"/>
      <c r="M1552" s="74"/>
      <c r="N1552" s="75"/>
      <c r="O1552" s="75"/>
      <c r="P1552" s="134" t="str">
        <f>IF(AND('331-CT'!$E$7=TH!H1552,OR(N1552="331",O1552="331")),"x","")</f>
        <v/>
      </c>
    </row>
    <row r="1553" spans="1:16" ht="18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122"/>
      <c r="J1553" s="122"/>
      <c r="K1553" s="122"/>
      <c r="L1553" s="122"/>
      <c r="M1553" s="74"/>
      <c r="N1553" s="75"/>
      <c r="O1553" s="75"/>
      <c r="P1553" s="134" t="str">
        <f>IF(AND('331-CT'!$E$7=TH!H1553,OR(N1553="331",O1553="331")),"x","")</f>
        <v/>
      </c>
    </row>
    <row r="1554" spans="1:16" ht="18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122"/>
      <c r="J1554" s="122"/>
      <c r="K1554" s="122"/>
      <c r="L1554" s="122"/>
      <c r="M1554" s="74"/>
      <c r="N1554" s="75"/>
      <c r="O1554" s="75"/>
      <c r="P1554" s="134" t="str">
        <f>IF(AND('331-CT'!$E$7=TH!H1554,OR(N1554="331",O1554="331")),"x","")</f>
        <v/>
      </c>
    </row>
    <row r="1555" spans="1:16" ht="18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122"/>
      <c r="J1555" s="122"/>
      <c r="K1555" s="122"/>
      <c r="L1555" s="122"/>
      <c r="M1555" s="74"/>
      <c r="N1555" s="75"/>
      <c r="O1555" s="75"/>
      <c r="P1555" s="134" t="str">
        <f>IF(AND('331-CT'!$E$7=TH!H1555,OR(N1555="331",O1555="331")),"x","")</f>
        <v/>
      </c>
    </row>
    <row r="1556" spans="1:16" ht="18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122"/>
      <c r="J1556" s="122"/>
      <c r="K1556" s="122"/>
      <c r="L1556" s="122"/>
      <c r="M1556" s="74"/>
      <c r="N1556" s="75"/>
      <c r="O1556" s="75"/>
      <c r="P1556" s="134" t="str">
        <f>IF(AND('331-CT'!$E$7=TH!H1556,OR(N1556="331",O1556="331")),"x","")</f>
        <v/>
      </c>
    </row>
    <row r="1557" spans="1:16" ht="18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122"/>
      <c r="J1557" s="122"/>
      <c r="K1557" s="122"/>
      <c r="L1557" s="122"/>
      <c r="M1557" s="74"/>
      <c r="N1557" s="75"/>
      <c r="O1557" s="75"/>
      <c r="P1557" s="134" t="str">
        <f>IF(AND('331-CT'!$E$7=TH!H1557,OR(N1557="331",O1557="331")),"x","")</f>
        <v/>
      </c>
    </row>
    <row r="1558" spans="1:16" ht="18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122"/>
      <c r="J1558" s="122"/>
      <c r="K1558" s="122"/>
      <c r="L1558" s="122"/>
      <c r="M1558" s="74"/>
      <c r="N1558" s="75"/>
      <c r="O1558" s="75"/>
      <c r="P1558" s="134" t="str">
        <f>IF(AND('331-CT'!$E$7=TH!H1558,OR(N1558="331",O1558="331")),"x","")</f>
        <v/>
      </c>
    </row>
    <row r="1559" spans="1:16" ht="18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122"/>
      <c r="J1559" s="122"/>
      <c r="K1559" s="122"/>
      <c r="L1559" s="122"/>
      <c r="M1559" s="74"/>
      <c r="N1559" s="75"/>
      <c r="O1559" s="75"/>
      <c r="P1559" s="134" t="str">
        <f>IF(AND('331-CT'!$E$7=TH!H1559,OR(N1559="331",O1559="331")),"x","")</f>
        <v/>
      </c>
    </row>
    <row r="1560" spans="1:16" ht="18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122"/>
      <c r="J1560" s="122"/>
      <c r="K1560" s="122"/>
      <c r="L1560" s="122"/>
      <c r="M1560" s="74"/>
      <c r="N1560" s="75"/>
      <c r="O1560" s="75"/>
      <c r="P1560" s="134" t="str">
        <f>IF(AND('331-CT'!$E$7=TH!H1560,OR(N1560="331",O1560="331")),"x","")</f>
        <v/>
      </c>
    </row>
    <row r="1561" spans="1:16" ht="18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122"/>
      <c r="J1561" s="122"/>
      <c r="K1561" s="122"/>
      <c r="L1561" s="122"/>
      <c r="M1561" s="74"/>
      <c r="N1561" s="75"/>
      <c r="O1561" s="75"/>
      <c r="P1561" s="134" t="str">
        <f>IF(AND('331-CT'!$E$7=TH!H1561,OR(N1561="331",O1561="331")),"x","")</f>
        <v/>
      </c>
    </row>
    <row r="1562" spans="1:16" ht="18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122"/>
      <c r="J1562" s="122"/>
      <c r="K1562" s="122"/>
      <c r="L1562" s="122"/>
      <c r="M1562" s="74"/>
      <c r="N1562" s="75"/>
      <c r="O1562" s="75"/>
      <c r="P1562" s="134" t="str">
        <f>IF(AND('331-CT'!$E$7=TH!H1562,OR(N1562="331",O1562="331")),"x","")</f>
        <v/>
      </c>
    </row>
    <row r="1563" spans="1:16" ht="18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122"/>
      <c r="J1563" s="122"/>
      <c r="K1563" s="122"/>
      <c r="L1563" s="122"/>
      <c r="M1563" s="74"/>
      <c r="N1563" s="75"/>
      <c r="O1563" s="75"/>
      <c r="P1563" s="134" t="str">
        <f>IF(AND('331-CT'!$E$7=TH!H1563,OR(N1563="331",O1563="331")),"x","")</f>
        <v/>
      </c>
    </row>
    <row r="1564" spans="1:16" ht="18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122"/>
      <c r="J1564" s="122"/>
      <c r="K1564" s="122"/>
      <c r="L1564" s="122"/>
      <c r="M1564" s="74"/>
      <c r="N1564" s="75"/>
      <c r="O1564" s="75"/>
      <c r="P1564" s="134" t="str">
        <f>IF(AND('331-CT'!$E$7=TH!H1564,OR(N1564="331",O1564="331")),"x","")</f>
        <v/>
      </c>
    </row>
    <row r="1565" spans="1:16" ht="18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122"/>
      <c r="J1565" s="122"/>
      <c r="K1565" s="122"/>
      <c r="L1565" s="122"/>
      <c r="M1565" s="74"/>
      <c r="N1565" s="75"/>
      <c r="O1565" s="75"/>
      <c r="P1565" s="134" t="str">
        <f>IF(AND('331-CT'!$E$7=TH!H1565,OR(N1565="331",O1565="331")),"x","")</f>
        <v/>
      </c>
    </row>
    <row r="1566" spans="1:16" ht="18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122"/>
      <c r="J1566" s="122"/>
      <c r="K1566" s="122"/>
      <c r="L1566" s="122"/>
      <c r="M1566" s="74"/>
      <c r="N1566" s="75"/>
      <c r="O1566" s="75"/>
      <c r="P1566" s="134" t="str">
        <f>IF(AND('331-CT'!$E$7=TH!H1566,OR(N1566="331",O1566="331")),"x","")</f>
        <v/>
      </c>
    </row>
    <row r="1567" spans="1:16" ht="18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122"/>
      <c r="J1567" s="122"/>
      <c r="K1567" s="122"/>
      <c r="L1567" s="122"/>
      <c r="M1567" s="74"/>
      <c r="N1567" s="75"/>
      <c r="O1567" s="75"/>
      <c r="P1567" s="134" t="str">
        <f>IF(AND('331-CT'!$E$7=TH!H1567,OR(N1567="331",O1567="331")),"x","")</f>
        <v/>
      </c>
    </row>
    <row r="1568" spans="1:16" ht="18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122"/>
      <c r="J1568" s="122"/>
      <c r="K1568" s="122"/>
      <c r="L1568" s="122"/>
      <c r="M1568" s="74"/>
      <c r="N1568" s="75"/>
      <c r="O1568" s="75"/>
      <c r="P1568" s="134" t="str">
        <f>IF(AND('331-CT'!$E$7=TH!H1568,OR(N1568="331",O1568="331")),"x","")</f>
        <v/>
      </c>
    </row>
    <row r="1569" spans="1:16" ht="18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122"/>
      <c r="J1569" s="122"/>
      <c r="K1569" s="122"/>
      <c r="L1569" s="122"/>
      <c r="M1569" s="74"/>
      <c r="N1569" s="75"/>
      <c r="O1569" s="75"/>
      <c r="P1569" s="134" t="str">
        <f>IF(AND('331-CT'!$E$7=TH!H1569,OR(N1569="331",O1569="331")),"x","")</f>
        <v/>
      </c>
    </row>
    <row r="1570" spans="1:16" ht="18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122"/>
      <c r="J1570" s="122"/>
      <c r="K1570" s="122"/>
      <c r="L1570" s="122"/>
      <c r="M1570" s="74"/>
      <c r="N1570" s="75"/>
      <c r="O1570" s="75"/>
      <c r="P1570" s="134" t="str">
        <f>IF(AND('331-CT'!$E$7=TH!H1570,OR(N1570="331",O1570="331")),"x","")</f>
        <v/>
      </c>
    </row>
    <row r="1571" spans="1:16" ht="18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122"/>
      <c r="J1571" s="122"/>
      <c r="K1571" s="122"/>
      <c r="L1571" s="122"/>
      <c r="M1571" s="74"/>
      <c r="N1571" s="75"/>
      <c r="O1571" s="75"/>
      <c r="P1571" s="134" t="str">
        <f>IF(AND('331-CT'!$E$7=TH!H1571,OR(N1571="331",O1571="331")),"x","")</f>
        <v/>
      </c>
    </row>
    <row r="1572" spans="1:16" ht="18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122"/>
      <c r="J1572" s="122"/>
      <c r="K1572" s="122"/>
      <c r="L1572" s="122"/>
      <c r="M1572" s="74"/>
      <c r="N1572" s="75"/>
      <c r="O1572" s="75"/>
      <c r="P1572" s="134" t="str">
        <f>IF(AND('331-CT'!$E$7=TH!H1572,OR(N1572="331",O1572="331")),"x","")</f>
        <v/>
      </c>
    </row>
    <row r="1573" spans="1:16" ht="18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122"/>
      <c r="J1573" s="122"/>
      <c r="K1573" s="122"/>
      <c r="L1573" s="122"/>
      <c r="M1573" s="74"/>
      <c r="N1573" s="75"/>
      <c r="O1573" s="75"/>
      <c r="P1573" s="134" t="str">
        <f>IF(AND('331-CT'!$E$7=TH!H1573,OR(N1573="331",O1573="331")),"x","")</f>
        <v/>
      </c>
    </row>
    <row r="1574" spans="1:16" ht="18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122"/>
      <c r="J1574" s="122"/>
      <c r="K1574" s="122"/>
      <c r="L1574" s="122"/>
      <c r="M1574" s="74"/>
      <c r="N1574" s="75"/>
      <c r="O1574" s="75"/>
      <c r="P1574" s="134" t="str">
        <f>IF(AND('331-CT'!$E$7=TH!H1574,OR(N1574="331",O1574="331")),"x","")</f>
        <v/>
      </c>
    </row>
    <row r="1575" spans="1:16" ht="18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122"/>
      <c r="J1575" s="122"/>
      <c r="K1575" s="122"/>
      <c r="L1575" s="122"/>
      <c r="M1575" s="74"/>
      <c r="N1575" s="75"/>
      <c r="O1575" s="75"/>
      <c r="P1575" s="134" t="str">
        <f>IF(AND('331-CT'!$E$7=TH!H1575,OR(N1575="331",O1575="331")),"x","")</f>
        <v/>
      </c>
    </row>
    <row r="1576" spans="1:16" ht="18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122"/>
      <c r="J1576" s="122"/>
      <c r="K1576" s="122"/>
      <c r="L1576" s="122"/>
      <c r="M1576" s="74"/>
      <c r="N1576" s="75"/>
      <c r="O1576" s="75"/>
      <c r="P1576" s="134" t="str">
        <f>IF(AND('331-CT'!$E$7=TH!H1576,OR(N1576="331",O1576="331")),"x","")</f>
        <v/>
      </c>
    </row>
    <row r="1577" spans="1:16" ht="18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122"/>
      <c r="J1577" s="122"/>
      <c r="K1577" s="122"/>
      <c r="L1577" s="122"/>
      <c r="M1577" s="74"/>
      <c r="N1577" s="75"/>
      <c r="O1577" s="75"/>
      <c r="P1577" s="134" t="str">
        <f>IF(AND('331-CT'!$E$7=TH!H1577,OR(N1577="331",O1577="331")),"x","")</f>
        <v/>
      </c>
    </row>
    <row r="1578" spans="1:16" ht="18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122"/>
      <c r="J1578" s="122"/>
      <c r="K1578" s="122"/>
      <c r="L1578" s="122"/>
      <c r="M1578" s="74"/>
      <c r="N1578" s="75"/>
      <c r="O1578" s="75"/>
      <c r="P1578" s="134" t="str">
        <f>IF(AND('331-CT'!$E$7=TH!H1578,OR(N1578="331",O1578="331")),"x","")</f>
        <v/>
      </c>
    </row>
    <row r="1579" spans="1:16" ht="18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122"/>
      <c r="J1579" s="122"/>
      <c r="K1579" s="122"/>
      <c r="L1579" s="122"/>
      <c r="M1579" s="74"/>
      <c r="N1579" s="75"/>
      <c r="O1579" s="75"/>
      <c r="P1579" s="134" t="str">
        <f>IF(AND('331-CT'!$E$7=TH!H1579,OR(N1579="331",O1579="331")),"x","")</f>
        <v/>
      </c>
    </row>
    <row r="1580" spans="1:16" ht="18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122"/>
      <c r="J1580" s="122"/>
      <c r="K1580" s="122"/>
      <c r="L1580" s="122"/>
      <c r="M1580" s="74"/>
      <c r="N1580" s="75"/>
      <c r="O1580" s="75"/>
      <c r="P1580" s="134" t="str">
        <f>IF(AND('331-CT'!$E$7=TH!H1580,OR(N1580="331",O1580="331")),"x","")</f>
        <v/>
      </c>
    </row>
    <row r="1581" spans="1:16" ht="18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122"/>
      <c r="J1581" s="122"/>
      <c r="K1581" s="122"/>
      <c r="L1581" s="122"/>
      <c r="M1581" s="74"/>
      <c r="N1581" s="75"/>
      <c r="O1581" s="75"/>
      <c r="P1581" s="134" t="str">
        <f>IF(AND('331-CT'!$E$7=TH!H1581,OR(N1581="331",O1581="331")),"x","")</f>
        <v/>
      </c>
    </row>
    <row r="1582" spans="1:16" ht="18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122"/>
      <c r="J1582" s="122"/>
      <c r="K1582" s="122"/>
      <c r="L1582" s="122"/>
      <c r="M1582" s="74"/>
      <c r="N1582" s="75"/>
      <c r="O1582" s="75"/>
      <c r="P1582" s="134" t="str">
        <f>IF(AND('331-CT'!$E$7=TH!H1582,OR(N1582="331",O1582="331")),"x","")</f>
        <v/>
      </c>
    </row>
    <row r="1583" spans="1:16" ht="18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122"/>
      <c r="J1583" s="122"/>
      <c r="K1583" s="122"/>
      <c r="L1583" s="122"/>
      <c r="M1583" s="74"/>
      <c r="N1583" s="75"/>
      <c r="O1583" s="75"/>
      <c r="P1583" s="134" t="str">
        <f>IF(AND('331-CT'!$E$7=TH!H1583,OR(N1583="331",O1583="331")),"x","")</f>
        <v/>
      </c>
    </row>
    <row r="1584" spans="1:16" ht="18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122"/>
      <c r="J1584" s="122"/>
      <c r="K1584" s="122"/>
      <c r="L1584" s="122"/>
      <c r="M1584" s="74"/>
      <c r="N1584" s="75"/>
      <c r="O1584" s="75"/>
      <c r="P1584" s="134" t="str">
        <f>IF(AND('331-CT'!$E$7=TH!H1584,OR(N1584="331",O1584="331")),"x","")</f>
        <v/>
      </c>
    </row>
    <row r="1585" spans="1:16" ht="18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122"/>
      <c r="J1585" s="122"/>
      <c r="K1585" s="122"/>
      <c r="L1585" s="122"/>
      <c r="M1585" s="74"/>
      <c r="N1585" s="75"/>
      <c r="O1585" s="75"/>
      <c r="P1585" s="134" t="str">
        <f>IF(AND('331-CT'!$E$7=TH!H1585,OR(N1585="331",O1585="331")),"x","")</f>
        <v/>
      </c>
    </row>
    <row r="1586" spans="1:16" ht="18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122"/>
      <c r="J1586" s="122"/>
      <c r="K1586" s="122"/>
      <c r="L1586" s="122"/>
      <c r="M1586" s="74"/>
      <c r="N1586" s="75"/>
      <c r="O1586" s="75"/>
      <c r="P1586" s="134" t="str">
        <f>IF(AND('331-CT'!$E$7=TH!H1586,OR(N1586="331",O1586="331")),"x","")</f>
        <v/>
      </c>
    </row>
    <row r="1587" spans="1:16" ht="18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122"/>
      <c r="J1587" s="122"/>
      <c r="K1587" s="122"/>
      <c r="L1587" s="122"/>
      <c r="M1587" s="74"/>
      <c r="N1587" s="75"/>
      <c r="O1587" s="75"/>
      <c r="P1587" s="134" t="str">
        <f>IF(AND('331-CT'!$E$7=TH!H1587,OR(N1587="331",O1587="331")),"x","")</f>
        <v/>
      </c>
    </row>
    <row r="1588" spans="1:16" ht="18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122"/>
      <c r="J1588" s="122"/>
      <c r="K1588" s="122"/>
      <c r="L1588" s="122"/>
      <c r="M1588" s="74"/>
      <c r="N1588" s="75"/>
      <c r="O1588" s="75"/>
      <c r="P1588" s="134" t="str">
        <f>IF(AND('331-CT'!$E$7=TH!H1588,OR(N1588="331",O1588="331")),"x","")</f>
        <v/>
      </c>
    </row>
    <row r="1589" spans="1:16" ht="18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9" s="122"/>
      <c r="K1589" s="122"/>
      <c r="L1589" s="122"/>
      <c r="M1589" s="74"/>
      <c r="N1589" s="75"/>
      <c r="O1589" s="75"/>
      <c r="P1589" s="134" t="str">
        <f>IF(AND('331-CT'!$E$7=TH!H1589,OR(N1589="331",O1589="331")),"x","")</f>
        <v/>
      </c>
    </row>
    <row r="1590" spans="1:16" ht="18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122"/>
      <c r="J1590" s="122"/>
      <c r="K1590" s="122"/>
      <c r="L1590" s="122"/>
      <c r="M1590" s="74"/>
      <c r="N1590" s="75"/>
      <c r="O1590" s="75"/>
      <c r="P1590" s="134" t="str">
        <f>IF(AND('331-CT'!$E$7=TH!H1590,OR(N1590="331",O1590="331")),"x","")</f>
        <v/>
      </c>
    </row>
    <row r="1591" spans="1:16" ht="18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122"/>
      <c r="J1591" s="122"/>
      <c r="K1591" s="122"/>
      <c r="L1591" s="122"/>
      <c r="M1591" s="74"/>
      <c r="N1591" s="75"/>
      <c r="O1591" s="75"/>
      <c r="P1591" s="134" t="str">
        <f>IF(AND('331-CT'!$E$7=TH!H1591,OR(N1591="331",O1591="331")),"x","")</f>
        <v/>
      </c>
    </row>
    <row r="1592" spans="1:16" ht="18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122"/>
      <c r="J1592" s="122"/>
      <c r="K1592" s="122"/>
      <c r="L1592" s="122"/>
      <c r="M1592" s="74"/>
      <c r="N1592" s="75"/>
      <c r="O1592" s="75"/>
      <c r="P1592" s="134" t="str">
        <f>IF(AND('331-CT'!$E$7=TH!H1592,OR(N1592="331",O1592="331")),"x","")</f>
        <v/>
      </c>
    </row>
    <row r="1593" spans="1:16" ht="18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122"/>
      <c r="J1593" s="122"/>
      <c r="K1593" s="122"/>
      <c r="L1593" s="122"/>
      <c r="M1593" s="74"/>
      <c r="N1593" s="75"/>
      <c r="O1593" s="75"/>
      <c r="P1593" s="134" t="str">
        <f>IF(AND('331-CT'!$E$7=TH!H1593,OR(N1593="331",O1593="331")),"x","")</f>
        <v/>
      </c>
    </row>
    <row r="1594" spans="1:16" ht="18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122"/>
      <c r="J1594" s="122"/>
      <c r="K1594" s="122"/>
      <c r="L1594" s="122"/>
      <c r="M1594" s="74"/>
      <c r="N1594" s="75"/>
      <c r="O1594" s="75"/>
      <c r="P1594" s="134" t="str">
        <f>IF(AND('331-CT'!$E$7=TH!H1594,OR(N1594="331",O1594="331")),"x","")</f>
        <v/>
      </c>
    </row>
    <row r="1595" spans="1:16" ht="18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122"/>
      <c r="J1595" s="122"/>
      <c r="K1595" s="122"/>
      <c r="L1595" s="122"/>
      <c r="M1595" s="74"/>
      <c r="N1595" s="75"/>
      <c r="O1595" s="75"/>
      <c r="P1595" s="134" t="str">
        <f>IF(AND('331-CT'!$E$7=TH!H1595,OR(N1595="331",O1595="331")),"x","")</f>
        <v/>
      </c>
    </row>
    <row r="1596" spans="1:16" ht="18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122"/>
      <c r="J1596" s="122"/>
      <c r="K1596" s="122"/>
      <c r="L1596" s="122"/>
      <c r="M1596" s="74"/>
      <c r="N1596" s="75"/>
      <c r="O1596" s="75"/>
      <c r="P1596" s="134" t="str">
        <f>IF(AND('331-CT'!$E$7=TH!H1596,OR(N1596="331",O1596="331")),"x","")</f>
        <v/>
      </c>
    </row>
    <row r="1597" spans="1:16" ht="18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122"/>
      <c r="J1597" s="122"/>
      <c r="K1597" s="122"/>
      <c r="L1597" s="122"/>
      <c r="M1597" s="74"/>
      <c r="N1597" s="75"/>
      <c r="O1597" s="75"/>
      <c r="P1597" s="134" t="str">
        <f>IF(AND('331-CT'!$E$7=TH!H1597,OR(N1597="331",O1597="331")),"x","")</f>
        <v/>
      </c>
    </row>
    <row r="1598" spans="1:16" ht="18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122"/>
      <c r="J1598" s="122"/>
      <c r="K1598" s="122"/>
      <c r="L1598" s="122"/>
      <c r="M1598" s="74"/>
      <c r="N1598" s="75"/>
      <c r="O1598" s="75"/>
      <c r="P1598" s="134" t="str">
        <f>IF(AND('331-CT'!$E$7=TH!H1598,OR(N1598="331",O1598="331")),"x","")</f>
        <v/>
      </c>
    </row>
    <row r="1599" spans="1:16" ht="18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122"/>
      <c r="J1599" s="122"/>
      <c r="K1599" s="122"/>
      <c r="L1599" s="122"/>
      <c r="M1599" s="74"/>
      <c r="N1599" s="75"/>
      <c r="O1599" s="75"/>
      <c r="P1599" s="134" t="str">
        <f>IF(AND('331-CT'!$E$7=TH!H1599,OR(N1599="331",O1599="331")),"x","")</f>
        <v/>
      </c>
    </row>
    <row r="1600" spans="1:16" ht="18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122"/>
      <c r="J1600" s="122"/>
      <c r="K1600" s="122"/>
      <c r="L1600" s="122"/>
      <c r="M1600" s="74"/>
      <c r="N1600" s="75"/>
      <c r="O1600" s="75"/>
      <c r="P1600" s="134" t="str">
        <f>IF(AND('331-CT'!$E$7=TH!H1600,OR(N1600="331",O1600="331")),"x","")</f>
        <v/>
      </c>
    </row>
    <row r="1601" spans="1:16" ht="18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122"/>
      <c r="J1601" s="122"/>
      <c r="K1601" s="122"/>
      <c r="L1601" s="122"/>
      <c r="M1601" s="74"/>
      <c r="N1601" s="75"/>
      <c r="O1601" s="75"/>
      <c r="P1601" s="134" t="str">
        <f>IF(AND('331-CT'!$E$7=TH!H1601,OR(N1601="331",O1601="331")),"x","")</f>
        <v/>
      </c>
    </row>
    <row r="1602" spans="1:16" ht="18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122"/>
      <c r="J1602" s="122"/>
      <c r="K1602" s="122"/>
      <c r="L1602" s="122"/>
      <c r="M1602" s="74"/>
      <c r="N1602" s="75"/>
      <c r="O1602" s="75"/>
      <c r="P1602" s="134" t="str">
        <f>IF(AND('331-CT'!$E$7=TH!H1602,OR(N1602="331",O1602="331")),"x","")</f>
        <v/>
      </c>
    </row>
    <row r="1603" spans="1:16" ht="18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122"/>
      <c r="J1603" s="122"/>
      <c r="K1603" s="122"/>
      <c r="L1603" s="122"/>
      <c r="M1603" s="74"/>
      <c r="N1603" s="75"/>
      <c r="O1603" s="75"/>
      <c r="P1603" s="134" t="str">
        <f>IF(AND('331-CT'!$E$7=TH!H1603,OR(N1603="331",O1603="331")),"x","")</f>
        <v/>
      </c>
    </row>
    <row r="1604" spans="1:16" ht="18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122"/>
      <c r="J1604" s="122"/>
      <c r="K1604" s="122"/>
      <c r="L1604" s="122"/>
      <c r="M1604" s="74"/>
      <c r="N1604" s="75"/>
      <c r="O1604" s="75"/>
      <c r="P1604" s="134" t="str">
        <f>IF(AND('331-CT'!$E$7=TH!H1604,OR(N1604="331",O1604="331")),"x","")</f>
        <v/>
      </c>
    </row>
    <row r="1605" spans="1:16" ht="18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122"/>
      <c r="J1605" s="122"/>
      <c r="K1605" s="122"/>
      <c r="L1605" s="122"/>
      <c r="M1605" s="74"/>
      <c r="N1605" s="75"/>
      <c r="O1605" s="75"/>
      <c r="P1605" s="134" t="str">
        <f>IF(AND('331-CT'!$E$7=TH!H1605,OR(N1605="331",O1605="331")),"x","")</f>
        <v/>
      </c>
    </row>
    <row r="1606" spans="1:16" ht="18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122"/>
      <c r="J1606" s="122"/>
      <c r="K1606" s="122"/>
      <c r="L1606" s="122"/>
      <c r="M1606" s="74"/>
      <c r="N1606" s="75"/>
      <c r="O1606" s="75"/>
      <c r="P1606" s="134" t="str">
        <f>IF(AND('331-CT'!$E$7=TH!H1606,OR(N1606="331",O1606="331")),"x","")</f>
        <v/>
      </c>
    </row>
    <row r="1607" spans="1:16" ht="18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122"/>
      <c r="J1607" s="122"/>
      <c r="K1607" s="122"/>
      <c r="L1607" s="122"/>
      <c r="M1607" s="74"/>
      <c r="N1607" s="75"/>
      <c r="O1607" s="75"/>
      <c r="P1607" s="134" t="str">
        <f>IF(AND('331-CT'!$E$7=TH!H1607,OR(N1607="331",O1607="331")),"x","")</f>
        <v/>
      </c>
    </row>
    <row r="1608" spans="1:16" ht="18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122"/>
      <c r="J1608" s="122"/>
      <c r="K1608" s="122"/>
      <c r="L1608" s="122"/>
      <c r="M1608" s="74"/>
      <c r="N1608" s="75"/>
      <c r="O1608" s="75"/>
      <c r="P1608" s="134" t="str">
        <f>IF(AND('331-CT'!$E$7=TH!H1608,OR(N1608="331",O1608="331")),"x","")</f>
        <v/>
      </c>
    </row>
    <row r="1609" spans="1:16" ht="18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122"/>
      <c r="J1609" s="122"/>
      <c r="K1609" s="122"/>
      <c r="L1609" s="122"/>
      <c r="M1609" s="74"/>
      <c r="N1609" s="75"/>
      <c r="O1609" s="75"/>
      <c r="P1609" s="134" t="str">
        <f>IF(AND('331-CT'!$E$7=TH!H1609,OR(N1609="331",O1609="331")),"x","")</f>
        <v/>
      </c>
    </row>
    <row r="1610" spans="1:16" ht="18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122"/>
      <c r="J1610" s="122"/>
      <c r="K1610" s="122"/>
      <c r="L1610" s="122"/>
      <c r="M1610" s="74"/>
      <c r="N1610" s="75"/>
      <c r="O1610" s="75"/>
      <c r="P1610" s="134" t="str">
        <f>IF(AND('331-CT'!$E$7=TH!H1610,OR(N1610="331",O1610="331")),"x","")</f>
        <v/>
      </c>
    </row>
    <row r="1611" spans="1:16" ht="18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122"/>
      <c r="J1611" s="122"/>
      <c r="K1611" s="122"/>
      <c r="L1611" s="122"/>
      <c r="M1611" s="74"/>
      <c r="N1611" s="75"/>
      <c r="O1611" s="75"/>
      <c r="P1611" s="134" t="str">
        <f>IF(AND('331-CT'!$E$7=TH!H1611,OR(N1611="331",O1611="331")),"x","")</f>
        <v/>
      </c>
    </row>
    <row r="1612" spans="1:16" ht="18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122"/>
      <c r="J1612" s="122"/>
      <c r="K1612" s="122"/>
      <c r="L1612" s="122"/>
      <c r="M1612" s="74"/>
      <c r="N1612" s="75"/>
      <c r="O1612" s="75"/>
      <c r="P1612" s="134" t="str">
        <f>IF(AND('331-CT'!$E$7=TH!H1612,OR(N1612="331",O1612="331")),"x","")</f>
        <v/>
      </c>
    </row>
    <row r="1613" spans="1:16" ht="18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122"/>
      <c r="J1613" s="122"/>
      <c r="K1613" s="122"/>
      <c r="L1613" s="122"/>
      <c r="M1613" s="74"/>
      <c r="N1613" s="75"/>
      <c r="O1613" s="75"/>
      <c r="P1613" s="134" t="str">
        <f>IF(AND('331-CT'!$E$7=TH!H1613,OR(N1613="331",O1613="331")),"x","")</f>
        <v/>
      </c>
    </row>
    <row r="1614" spans="1:16" ht="18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122"/>
      <c r="J1614" s="122"/>
      <c r="K1614" s="122"/>
      <c r="L1614" s="122"/>
      <c r="M1614" s="74"/>
      <c r="N1614" s="75"/>
      <c r="O1614" s="75"/>
      <c r="P1614" s="134" t="str">
        <f>IF(AND('331-CT'!$E$7=TH!H1614,OR(N1614="331",O1614="331")),"x","")</f>
        <v/>
      </c>
    </row>
    <row r="1615" spans="1:16" ht="18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122"/>
      <c r="J1615" s="122"/>
      <c r="K1615" s="122"/>
      <c r="L1615" s="122"/>
      <c r="M1615" s="74"/>
      <c r="N1615" s="75"/>
      <c r="O1615" s="75"/>
      <c r="P1615" s="134" t="str">
        <f>IF(AND('331-CT'!$E$7=TH!H1615,OR(N1615="331",O1615="331")),"x","")</f>
        <v/>
      </c>
    </row>
    <row r="1616" spans="1:16" ht="18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122"/>
      <c r="J1616" s="122"/>
      <c r="K1616" s="122"/>
      <c r="L1616" s="122"/>
      <c r="M1616" s="74"/>
      <c r="N1616" s="75"/>
      <c r="O1616" s="75"/>
      <c r="P1616" s="134" t="str">
        <f>IF(AND('331-CT'!$E$7=TH!H1616,OR(N1616="331",O1616="331")),"x","")</f>
        <v/>
      </c>
    </row>
    <row r="1617" spans="1:16" ht="18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122"/>
      <c r="J1617" s="122"/>
      <c r="K1617" s="122"/>
      <c r="L1617" s="122"/>
      <c r="M1617" s="74"/>
      <c r="N1617" s="75"/>
      <c r="O1617" s="75"/>
      <c r="P1617" s="134" t="str">
        <f>IF(AND('331-CT'!$E$7=TH!H1617,OR(N1617="331",O1617="331")),"x","")</f>
        <v/>
      </c>
    </row>
    <row r="1618" spans="1:16" ht="18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122"/>
      <c r="J1618" s="122"/>
      <c r="K1618" s="122"/>
      <c r="L1618" s="122"/>
      <c r="M1618" s="74"/>
      <c r="N1618" s="75"/>
      <c r="O1618" s="75"/>
      <c r="P1618" s="134" t="str">
        <f>IF(AND('331-CT'!$E$7=TH!H1618,OR(N1618="331",O1618="331")),"x","")</f>
        <v/>
      </c>
    </row>
    <row r="1619" spans="1:16" ht="18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122"/>
      <c r="J1619" s="122"/>
      <c r="K1619" s="122"/>
      <c r="L1619" s="122"/>
      <c r="M1619" s="74"/>
      <c r="N1619" s="75"/>
      <c r="O1619" s="75"/>
      <c r="P1619" s="134" t="str">
        <f>IF(AND('331-CT'!$E$7=TH!H1619,OR(N1619="331",O1619="331")),"x","")</f>
        <v/>
      </c>
    </row>
    <row r="1620" spans="1:16" ht="18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122"/>
      <c r="J1620" s="122"/>
      <c r="K1620" s="122"/>
      <c r="L1620" s="122"/>
      <c r="M1620" s="74"/>
      <c r="N1620" s="75"/>
      <c r="O1620" s="75"/>
      <c r="P1620" s="134" t="str">
        <f>IF(AND('331-CT'!$E$7=TH!H1620,OR(N1620="331",O1620="331")),"x","")</f>
        <v/>
      </c>
    </row>
    <row r="1621" spans="1:16" ht="18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122"/>
      <c r="J1621" s="122"/>
      <c r="K1621" s="122"/>
      <c r="L1621" s="122"/>
      <c r="M1621" s="74"/>
      <c r="N1621" s="75"/>
      <c r="O1621" s="75"/>
      <c r="P1621" s="134" t="str">
        <f>IF(AND('331-CT'!$E$7=TH!H1621,OR(N1621="331",O1621="331")),"x","")</f>
        <v/>
      </c>
    </row>
    <row r="1622" spans="1:16" ht="18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122"/>
      <c r="J1622" s="122"/>
      <c r="K1622" s="122"/>
      <c r="L1622" s="122"/>
      <c r="M1622" s="74"/>
      <c r="N1622" s="75"/>
      <c r="O1622" s="75"/>
      <c r="P1622" s="134" t="str">
        <f>IF(AND('331-CT'!$E$7=TH!H1622,OR(N1622="331",O1622="331")),"x","")</f>
        <v/>
      </c>
    </row>
    <row r="1623" spans="1:16" ht="18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122"/>
      <c r="J1623" s="122"/>
      <c r="K1623" s="122"/>
      <c r="L1623" s="122"/>
      <c r="M1623" s="74"/>
      <c r="N1623" s="75"/>
      <c r="O1623" s="75"/>
      <c r="P1623" s="134" t="str">
        <f>IF(AND('331-CT'!$E$7=TH!H1623,OR(N1623="331",O1623="331")),"x","")</f>
        <v/>
      </c>
    </row>
    <row r="1624" spans="1:16" ht="18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122"/>
      <c r="J1624" s="122"/>
      <c r="K1624" s="122"/>
      <c r="L1624" s="122"/>
      <c r="M1624" s="74"/>
      <c r="N1624" s="75"/>
      <c r="O1624" s="75"/>
      <c r="P1624" s="134" t="str">
        <f>IF(AND('331-CT'!$E$7=TH!H1624,OR(N1624="331",O1624="331")),"x","")</f>
        <v/>
      </c>
    </row>
    <row r="1625" spans="1:16" ht="18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122"/>
      <c r="J1625" s="122"/>
      <c r="K1625" s="122"/>
      <c r="L1625" s="122"/>
      <c r="M1625" s="74"/>
      <c r="N1625" s="75"/>
      <c r="O1625" s="75"/>
      <c r="P1625" s="134" t="str">
        <f>IF(AND('331-CT'!$E$7=TH!H1625,OR(N1625="331",O1625="331")),"x","")</f>
        <v/>
      </c>
    </row>
    <row r="1626" spans="1:16" ht="18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122"/>
      <c r="J1626" s="122"/>
      <c r="K1626" s="122"/>
      <c r="L1626" s="122"/>
      <c r="M1626" s="74"/>
      <c r="N1626" s="75"/>
      <c r="O1626" s="75"/>
      <c r="P1626" s="134" t="str">
        <f>IF(AND('331-CT'!$E$7=TH!H1626,OR(N1626="331",O1626="331")),"x","")</f>
        <v/>
      </c>
    </row>
    <row r="1627" spans="1:16" ht="18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122"/>
      <c r="J1627" s="122"/>
      <c r="K1627" s="122"/>
      <c r="L1627" s="122"/>
      <c r="M1627" s="74"/>
      <c r="N1627" s="75"/>
      <c r="O1627" s="75"/>
      <c r="P1627" s="134" t="str">
        <f>IF(AND('331-CT'!$E$7=TH!H1627,OR(N1627="331",O1627="331")),"x","")</f>
        <v/>
      </c>
    </row>
    <row r="1628" spans="1:16" ht="18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122"/>
      <c r="J1628" s="122"/>
      <c r="K1628" s="122"/>
      <c r="L1628" s="122"/>
      <c r="M1628" s="74"/>
      <c r="N1628" s="75"/>
      <c r="O1628" s="75"/>
      <c r="P1628" s="134" t="str">
        <f>IF(AND('331-CT'!$E$7=TH!H1628,OR(N1628="331",O1628="331")),"x","")</f>
        <v/>
      </c>
    </row>
    <row r="1629" spans="1:16" ht="18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122"/>
      <c r="J1629" s="122"/>
      <c r="K1629" s="122"/>
      <c r="L1629" s="122"/>
      <c r="M1629" s="74"/>
      <c r="N1629" s="75"/>
      <c r="O1629" s="75"/>
      <c r="P1629" s="134" t="str">
        <f>IF(AND('331-CT'!$E$7=TH!H1629,OR(N1629="331",O1629="331")),"x","")</f>
        <v/>
      </c>
    </row>
    <row r="1630" spans="1:16" ht="18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122"/>
      <c r="J1630" s="122"/>
      <c r="K1630" s="122"/>
      <c r="L1630" s="122"/>
      <c r="M1630" s="74"/>
      <c r="N1630" s="75"/>
      <c r="O1630" s="75"/>
      <c r="P1630" s="134" t="str">
        <f>IF(AND('331-CT'!$E$7=TH!H1630,OR(N1630="331",O1630="331")),"x","")</f>
        <v/>
      </c>
    </row>
    <row r="1631" spans="1:16" ht="18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122"/>
      <c r="J1631" s="122"/>
      <c r="K1631" s="122"/>
      <c r="L1631" s="122"/>
      <c r="M1631" s="74"/>
      <c r="N1631" s="75"/>
      <c r="O1631" s="75"/>
      <c r="P1631" s="134" t="str">
        <f>IF(AND('331-CT'!$E$7=TH!H1631,OR(N1631="331",O1631="331")),"x","")</f>
        <v/>
      </c>
    </row>
    <row r="1632" spans="1:16" ht="18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122"/>
      <c r="J1632" s="122"/>
      <c r="K1632" s="122"/>
      <c r="L1632" s="122"/>
      <c r="M1632" s="74"/>
      <c r="N1632" s="75"/>
      <c r="O1632" s="75"/>
      <c r="P1632" s="134" t="str">
        <f>IF(AND('331-CT'!$E$7=TH!H1632,OR(N1632="331",O1632="331")),"x","")</f>
        <v/>
      </c>
    </row>
    <row r="1633" spans="1:16" ht="18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122"/>
      <c r="J1633" s="122"/>
      <c r="K1633" s="122"/>
      <c r="L1633" s="122"/>
      <c r="M1633" s="74"/>
      <c r="N1633" s="75"/>
      <c r="O1633" s="75"/>
      <c r="P1633" s="134" t="str">
        <f>IF(AND('331-CT'!$E$7=TH!H1633,OR(N1633="331",O1633="331")),"x","")</f>
        <v/>
      </c>
    </row>
    <row r="1634" spans="1:16" ht="18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122"/>
      <c r="J1634" s="122"/>
      <c r="K1634" s="122"/>
      <c r="L1634" s="122"/>
      <c r="M1634" s="74"/>
      <c r="N1634" s="75"/>
      <c r="O1634" s="75"/>
      <c r="P1634" s="134" t="str">
        <f>IF(AND('331-CT'!$E$7=TH!H1634,OR(N1634="331",O1634="331")),"x","")</f>
        <v/>
      </c>
    </row>
    <row r="1635" spans="1:16" ht="18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122"/>
      <c r="J1635" s="122"/>
      <c r="K1635" s="122"/>
      <c r="L1635" s="122"/>
      <c r="M1635" s="74"/>
      <c r="N1635" s="75"/>
      <c r="O1635" s="75"/>
      <c r="P1635" s="134" t="str">
        <f>IF(AND('331-CT'!$E$7=TH!H1635,OR(N1635="331",O1635="331")),"x","")</f>
        <v/>
      </c>
    </row>
    <row r="1636" spans="1:16" ht="18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122"/>
      <c r="J1636" s="122"/>
      <c r="K1636" s="122"/>
      <c r="L1636" s="122"/>
      <c r="M1636" s="74"/>
      <c r="N1636" s="75"/>
      <c r="O1636" s="75"/>
      <c r="P1636" s="134" t="str">
        <f>IF(AND('331-CT'!$E$7=TH!H1636,OR(N1636="331",O1636="331")),"x","")</f>
        <v/>
      </c>
    </row>
    <row r="1637" spans="1:16" ht="18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122"/>
      <c r="J1637" s="122"/>
      <c r="K1637" s="122"/>
      <c r="L1637" s="122"/>
      <c r="M1637" s="74"/>
      <c r="N1637" s="75"/>
      <c r="O1637" s="75"/>
      <c r="P1637" s="134" t="str">
        <f>IF(AND('331-CT'!$E$7=TH!H1637,OR(N1637="331",O1637="331")),"x","")</f>
        <v/>
      </c>
    </row>
    <row r="1638" spans="1:16" ht="18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122"/>
      <c r="J1638" s="122"/>
      <c r="K1638" s="122"/>
      <c r="L1638" s="122"/>
      <c r="M1638" s="74"/>
      <c r="N1638" s="75"/>
      <c r="O1638" s="75"/>
      <c r="P1638" s="134" t="str">
        <f>IF(AND('331-CT'!$E$7=TH!H1638,OR(N1638="331",O1638="331")),"x","")</f>
        <v/>
      </c>
    </row>
    <row r="1639" spans="1:16" ht="18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122"/>
      <c r="J1639" s="122"/>
      <c r="K1639" s="122"/>
      <c r="L1639" s="122"/>
      <c r="M1639" s="74"/>
      <c r="N1639" s="75"/>
      <c r="O1639" s="75"/>
      <c r="P1639" s="134" t="str">
        <f>IF(AND('331-CT'!$E$7=TH!H1639,OR(N1639="331",O1639="331")),"x","")</f>
        <v/>
      </c>
    </row>
    <row r="1640" spans="1:16" ht="18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122"/>
      <c r="J1640" s="122"/>
      <c r="K1640" s="122"/>
      <c r="L1640" s="122"/>
      <c r="M1640" s="74"/>
      <c r="N1640" s="75"/>
      <c r="O1640" s="75"/>
      <c r="P1640" s="134" t="str">
        <f>IF(AND('331-CT'!$E$7=TH!H1640,OR(N1640="331",O1640="331")),"x","")</f>
        <v/>
      </c>
    </row>
    <row r="1641" spans="1:16" ht="18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122"/>
      <c r="J1641" s="122"/>
      <c r="K1641" s="122"/>
      <c r="L1641" s="122"/>
      <c r="M1641" s="74"/>
      <c r="N1641" s="75"/>
      <c r="O1641" s="75"/>
      <c r="P1641" s="134" t="str">
        <f>IF(AND('331-CT'!$E$7=TH!H1641,OR(N1641="331",O1641="331")),"x","")</f>
        <v/>
      </c>
    </row>
    <row r="1642" spans="1:16" ht="18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122"/>
      <c r="J1642" s="122"/>
      <c r="K1642" s="122"/>
      <c r="L1642" s="122"/>
      <c r="M1642" s="74"/>
      <c r="N1642" s="75"/>
      <c r="O1642" s="75"/>
      <c r="P1642" s="134" t="str">
        <f>IF(AND('331-CT'!$E$7=TH!H1642,OR(N1642="331",O1642="331")),"x","")</f>
        <v/>
      </c>
    </row>
    <row r="1643" spans="1:16" ht="18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122"/>
      <c r="J1643" s="122"/>
      <c r="K1643" s="122"/>
      <c r="L1643" s="122"/>
      <c r="M1643" s="74"/>
      <c r="N1643" s="75"/>
      <c r="O1643" s="75"/>
      <c r="P1643" s="134" t="str">
        <f>IF(AND('331-CT'!$E$7=TH!H1643,OR(N1643="331",O1643="331")),"x","")</f>
        <v/>
      </c>
    </row>
    <row r="1644" spans="1:16" ht="18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122"/>
      <c r="J1644" s="122"/>
      <c r="K1644" s="122"/>
      <c r="L1644" s="122"/>
      <c r="M1644" s="74"/>
      <c r="N1644" s="75"/>
      <c r="O1644" s="75"/>
      <c r="P1644" s="134" t="str">
        <f>IF(AND('331-CT'!$E$7=TH!H1644,OR(N1644="331",O1644="331")),"x","")</f>
        <v/>
      </c>
    </row>
    <row r="1645" spans="1:16" ht="18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122"/>
      <c r="J1645" s="122"/>
      <c r="K1645" s="122"/>
      <c r="L1645" s="122"/>
      <c r="M1645" s="74"/>
      <c r="N1645" s="75"/>
      <c r="O1645" s="75"/>
      <c r="P1645" s="134" t="str">
        <f>IF(AND('331-CT'!$E$7=TH!H1645,OR(N1645="331",O1645="331")),"x","")</f>
        <v/>
      </c>
    </row>
    <row r="1646" spans="1:16" ht="18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122"/>
      <c r="J1646" s="122"/>
      <c r="K1646" s="122"/>
      <c r="L1646" s="122"/>
      <c r="M1646" s="74"/>
      <c r="N1646" s="75"/>
      <c r="O1646" s="75"/>
      <c r="P1646" s="134" t="str">
        <f>IF(AND('331-CT'!$E$7=TH!H1646,OR(N1646="331",O1646="331")),"x","")</f>
        <v/>
      </c>
    </row>
    <row r="1647" spans="1:16" ht="18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122"/>
      <c r="J1647" s="122"/>
      <c r="K1647" s="122"/>
      <c r="L1647" s="122"/>
      <c r="M1647" s="74"/>
      <c r="N1647" s="75"/>
      <c r="O1647" s="75"/>
      <c r="P1647" s="134" t="str">
        <f>IF(AND('331-CT'!$E$7=TH!H1647,OR(N1647="331",O1647="331")),"x","")</f>
        <v/>
      </c>
    </row>
    <row r="1648" spans="1:16" ht="18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122"/>
      <c r="J1648" s="122"/>
      <c r="K1648" s="122"/>
      <c r="L1648" s="122"/>
      <c r="M1648" s="74"/>
      <c r="N1648" s="75"/>
      <c r="O1648" s="75"/>
      <c r="P1648" s="134" t="str">
        <f>IF(AND('331-CT'!$E$7=TH!H1648,OR(N1648="331",O1648="331")),"x","")</f>
        <v/>
      </c>
    </row>
    <row r="1649" spans="1:16" ht="18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122"/>
      <c r="J1649" s="122"/>
      <c r="K1649" s="122"/>
      <c r="L1649" s="122"/>
      <c r="M1649" s="74"/>
      <c r="N1649" s="75"/>
      <c r="O1649" s="75"/>
      <c r="P1649" s="134" t="str">
        <f>IF(AND('331-CT'!$E$7=TH!H1649,OR(N1649="331",O1649="331")),"x","")</f>
        <v/>
      </c>
    </row>
    <row r="1650" spans="1:16" ht="18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122"/>
      <c r="J1650" s="122"/>
      <c r="K1650" s="122"/>
      <c r="L1650" s="122"/>
      <c r="M1650" s="74"/>
      <c r="N1650" s="75"/>
      <c r="O1650" s="75"/>
      <c r="P1650" s="134" t="str">
        <f>IF(AND('331-CT'!$E$7=TH!H1650,OR(N1650="331",O1650="331")),"x","")</f>
        <v/>
      </c>
    </row>
    <row r="1651" spans="1:16" ht="18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122"/>
      <c r="J1651" s="122"/>
      <c r="K1651" s="122"/>
      <c r="L1651" s="122"/>
      <c r="M1651" s="74"/>
      <c r="N1651" s="75"/>
      <c r="O1651" s="75"/>
      <c r="P1651" s="134" t="str">
        <f>IF(AND('331-CT'!$E$7=TH!H1651,OR(N1651="331",O1651="331")),"x","")</f>
        <v/>
      </c>
    </row>
    <row r="1652" spans="1:16" ht="18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122"/>
      <c r="J1652" s="122"/>
      <c r="K1652" s="122"/>
      <c r="L1652" s="122"/>
      <c r="M1652" s="74"/>
      <c r="N1652" s="75"/>
      <c r="O1652" s="75"/>
      <c r="P1652" s="134" t="str">
        <f>IF(AND('331-CT'!$E$7=TH!H1652,OR(N1652="331",O1652="331")),"x","")</f>
        <v/>
      </c>
    </row>
    <row r="1653" spans="1:16" ht="18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122"/>
      <c r="J1653" s="122"/>
      <c r="K1653" s="122"/>
      <c r="L1653" s="122"/>
      <c r="M1653" s="74"/>
      <c r="N1653" s="75"/>
      <c r="O1653" s="75"/>
      <c r="P1653" s="134" t="str">
        <f>IF(AND('331-CT'!$E$7=TH!H1653,OR(N1653="331",O1653="331")),"x","")</f>
        <v/>
      </c>
    </row>
    <row r="1654" spans="1:16" ht="18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122"/>
      <c r="J1654" s="122"/>
      <c r="K1654" s="122"/>
      <c r="L1654" s="122"/>
      <c r="M1654" s="74"/>
      <c r="N1654" s="75"/>
      <c r="O1654" s="75"/>
      <c r="P1654" s="134" t="str">
        <f>IF(AND('331-CT'!$E$7=TH!H1654,OR(N1654="331",O1654="331")),"x","")</f>
        <v/>
      </c>
    </row>
    <row r="1655" spans="1:16" ht="18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122"/>
      <c r="J1655" s="122"/>
      <c r="K1655" s="122"/>
      <c r="L1655" s="122"/>
      <c r="M1655" s="74"/>
      <c r="N1655" s="75"/>
      <c r="O1655" s="75"/>
      <c r="P1655" s="134" t="str">
        <f>IF(AND('331-CT'!$E$7=TH!H1655,OR(N1655="331",O1655="331")),"x","")</f>
        <v/>
      </c>
    </row>
    <row r="1656" spans="1:16" ht="18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122"/>
      <c r="J1656" s="122"/>
      <c r="K1656" s="122"/>
      <c r="L1656" s="122"/>
      <c r="M1656" s="74"/>
      <c r="N1656" s="75"/>
      <c r="O1656" s="75"/>
      <c r="P1656" s="134" t="str">
        <f>IF(AND('331-CT'!$E$7=TH!H1656,OR(N1656="331",O1656="331")),"x","")</f>
        <v/>
      </c>
    </row>
    <row r="1657" spans="1:16" ht="18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122"/>
      <c r="J1657" s="122"/>
      <c r="K1657" s="122"/>
      <c r="L1657" s="122"/>
      <c r="M1657" s="74"/>
      <c r="N1657" s="75"/>
      <c r="O1657" s="75"/>
      <c r="P1657" s="134" t="str">
        <f>IF(AND('331-CT'!$E$7=TH!H1657,OR(N1657="331",O1657="331")),"x","")</f>
        <v/>
      </c>
    </row>
    <row r="1658" spans="1:16" ht="18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122"/>
      <c r="J1658" s="122"/>
      <c r="K1658" s="122"/>
      <c r="L1658" s="122"/>
      <c r="M1658" s="74"/>
      <c r="N1658" s="75"/>
      <c r="O1658" s="75"/>
      <c r="P1658" s="134" t="str">
        <f>IF(AND('331-CT'!$E$7=TH!H1658,OR(N1658="331",O1658="331")),"x","")</f>
        <v/>
      </c>
    </row>
    <row r="1659" spans="1:16" ht="18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122"/>
      <c r="J1659" s="122"/>
      <c r="K1659" s="122"/>
      <c r="L1659" s="122"/>
      <c r="M1659" s="74"/>
      <c r="N1659" s="75"/>
      <c r="O1659" s="75"/>
      <c r="P1659" s="134" t="str">
        <f>IF(AND('331-CT'!$E$7=TH!H1659,OR(N1659="331",O1659="331")),"x","")</f>
        <v/>
      </c>
    </row>
    <row r="1660" spans="1:16" ht="18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122"/>
      <c r="J1660" s="122"/>
      <c r="K1660" s="122"/>
      <c r="L1660" s="122"/>
      <c r="M1660" s="74"/>
      <c r="N1660" s="75"/>
      <c r="O1660" s="75"/>
      <c r="P1660" s="134" t="str">
        <f>IF(AND('331-CT'!$E$7=TH!H1660,OR(N1660="331",O1660="331")),"x","")</f>
        <v/>
      </c>
    </row>
    <row r="1661" spans="1:16" ht="18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122"/>
      <c r="J1661" s="122"/>
      <c r="K1661" s="122"/>
      <c r="L1661" s="122"/>
      <c r="M1661" s="74"/>
      <c r="N1661" s="75"/>
      <c r="O1661" s="75"/>
      <c r="P1661" s="134" t="str">
        <f>IF(AND('331-CT'!$E$7=TH!H1661,OR(N1661="331",O1661="331")),"x","")</f>
        <v/>
      </c>
    </row>
    <row r="1662" spans="1:16" ht="18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122"/>
      <c r="J1662" s="122"/>
      <c r="K1662" s="122"/>
      <c r="L1662" s="122"/>
      <c r="M1662" s="74"/>
      <c r="N1662" s="75"/>
      <c r="O1662" s="75"/>
      <c r="P1662" s="134" t="str">
        <f>IF(AND('331-CT'!$E$7=TH!H1662,OR(N1662="331",O1662="331")),"x","")</f>
        <v/>
      </c>
    </row>
    <row r="1663" spans="1:16" ht="18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122"/>
      <c r="J1663" s="122"/>
      <c r="K1663" s="122"/>
      <c r="L1663" s="122"/>
      <c r="M1663" s="74"/>
      <c r="N1663" s="75"/>
      <c r="O1663" s="75"/>
      <c r="P1663" s="134" t="str">
        <f>IF(AND('331-CT'!$E$7=TH!H1663,OR(N1663="331",O1663="331")),"x","")</f>
        <v/>
      </c>
    </row>
    <row r="1664" spans="1:16" ht="18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122"/>
      <c r="J1664" s="122"/>
      <c r="K1664" s="122"/>
      <c r="L1664" s="122"/>
      <c r="M1664" s="74"/>
      <c r="N1664" s="75"/>
      <c r="O1664" s="75"/>
      <c r="P1664" s="134" t="str">
        <f>IF(AND('331-CT'!$E$7=TH!H1664,OR(N1664="331",O1664="331")),"x","")</f>
        <v/>
      </c>
    </row>
    <row r="1665" spans="1:16" ht="18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122"/>
      <c r="J1665" s="122"/>
      <c r="K1665" s="122"/>
      <c r="L1665" s="122"/>
      <c r="M1665" s="74"/>
      <c r="N1665" s="75"/>
      <c r="O1665" s="75"/>
      <c r="P1665" s="134" t="str">
        <f>IF(AND('331-CT'!$E$7=TH!H1665,OR(N1665="331",O1665="331")),"x","")</f>
        <v/>
      </c>
    </row>
    <row r="1666" spans="1:16" ht="18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122"/>
      <c r="J1666" s="122"/>
      <c r="K1666" s="122"/>
      <c r="L1666" s="122"/>
      <c r="M1666" s="74"/>
      <c r="N1666" s="75"/>
      <c r="O1666" s="75"/>
      <c r="P1666" s="134" t="str">
        <f>IF(AND('331-CT'!$E$7=TH!H1666,OR(N1666="331",O1666="331")),"x","")</f>
        <v/>
      </c>
    </row>
    <row r="1667" spans="1:16" ht="18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122"/>
      <c r="J1667" s="122"/>
      <c r="K1667" s="122"/>
      <c r="L1667" s="122"/>
      <c r="M1667" s="74"/>
      <c r="N1667" s="75"/>
      <c r="O1667" s="75"/>
      <c r="P1667" s="134" t="str">
        <f>IF(AND('331-CT'!$E$7=TH!H1667,OR(N1667="331",O1667="331")),"x","")</f>
        <v/>
      </c>
    </row>
    <row r="1668" spans="1:16" ht="18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122"/>
      <c r="J1668" s="122"/>
      <c r="K1668" s="122"/>
      <c r="L1668" s="122"/>
      <c r="M1668" s="74"/>
      <c r="N1668" s="75"/>
      <c r="O1668" s="75"/>
      <c r="P1668" s="134" t="str">
        <f>IF(AND('331-CT'!$E$7=TH!H1668,OR(N1668="331",O1668="331")),"x","")</f>
        <v/>
      </c>
    </row>
    <row r="1669" spans="1:16" ht="18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122"/>
      <c r="J1669" s="122"/>
      <c r="K1669" s="122"/>
      <c r="L1669" s="122"/>
      <c r="M1669" s="74"/>
      <c r="N1669" s="75"/>
      <c r="O1669" s="75"/>
      <c r="P1669" s="134" t="str">
        <f>IF(AND('331-CT'!$E$7=TH!H1669,OR(N1669="331",O1669="331")),"x","")</f>
        <v/>
      </c>
    </row>
    <row r="1670" spans="1:16" ht="18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122"/>
      <c r="J1670" s="122"/>
      <c r="K1670" s="122"/>
      <c r="L1670" s="122"/>
      <c r="M1670" s="74"/>
      <c r="N1670" s="75"/>
      <c r="O1670" s="75"/>
      <c r="P1670" s="134" t="str">
        <f>IF(AND('331-CT'!$E$7=TH!H1670,OR(N1670="331",O1670="331")),"x","")</f>
        <v/>
      </c>
    </row>
    <row r="1671" spans="1:16" ht="18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122"/>
      <c r="J1671" s="122"/>
      <c r="K1671" s="122"/>
      <c r="L1671" s="122"/>
      <c r="M1671" s="74"/>
      <c r="N1671" s="75"/>
      <c r="O1671" s="75"/>
      <c r="P1671" s="134" t="str">
        <f>IF(AND('331-CT'!$E$7=TH!H1671,OR(N1671="331",O1671="331")),"x","")</f>
        <v/>
      </c>
    </row>
    <row r="1672" spans="1:16" ht="18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122"/>
      <c r="J1672" s="122"/>
      <c r="K1672" s="122"/>
      <c r="L1672" s="122"/>
      <c r="M1672" s="74"/>
      <c r="N1672" s="75"/>
      <c r="O1672" s="75"/>
      <c r="P1672" s="134" t="str">
        <f>IF(AND('331-CT'!$E$7=TH!H1672,OR(N1672="331",O1672="331")),"x","")</f>
        <v/>
      </c>
    </row>
    <row r="1673" spans="1:16" ht="18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122"/>
      <c r="J1673" s="122"/>
      <c r="K1673" s="122"/>
      <c r="L1673" s="122"/>
      <c r="M1673" s="74"/>
      <c r="N1673" s="75"/>
      <c r="O1673" s="75"/>
      <c r="P1673" s="134" t="str">
        <f>IF(AND('331-CT'!$E$7=TH!H1673,OR(N1673="331",O1673="331")),"x","")</f>
        <v/>
      </c>
    </row>
    <row r="1674" spans="1:16" ht="18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122"/>
      <c r="J1674" s="122"/>
      <c r="K1674" s="122"/>
      <c r="L1674" s="122"/>
      <c r="M1674" s="74"/>
      <c r="N1674" s="75"/>
      <c r="O1674" s="75"/>
      <c r="P1674" s="134" t="str">
        <f>IF(AND('331-CT'!$E$7=TH!H1674,OR(N1674="331",O1674="331")),"x","")</f>
        <v/>
      </c>
    </row>
    <row r="1675" spans="1:16" ht="18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122"/>
      <c r="J1675" s="122"/>
      <c r="K1675" s="122"/>
      <c r="L1675" s="122"/>
      <c r="M1675" s="74"/>
      <c r="N1675" s="75"/>
      <c r="O1675" s="75"/>
      <c r="P1675" s="134" t="str">
        <f>IF(AND('331-CT'!$E$7=TH!H1675,OR(N1675="331",O1675="331")),"x","")</f>
        <v/>
      </c>
    </row>
    <row r="1676" spans="1:16" ht="18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122"/>
      <c r="J1676" s="122"/>
      <c r="K1676" s="122"/>
      <c r="L1676" s="122"/>
      <c r="M1676" s="74"/>
      <c r="N1676" s="75"/>
      <c r="O1676" s="75"/>
      <c r="P1676" s="134" t="str">
        <f>IF(AND('331-CT'!$E$7=TH!H1676,OR(N1676="331",O1676="331")),"x","")</f>
        <v/>
      </c>
    </row>
    <row r="1677" spans="1:16" ht="18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122"/>
      <c r="J1677" s="122"/>
      <c r="K1677" s="122"/>
      <c r="L1677" s="122"/>
      <c r="M1677" s="74"/>
      <c r="N1677" s="75"/>
      <c r="O1677" s="75"/>
      <c r="P1677" s="134" t="str">
        <f>IF(AND('331-CT'!$E$7=TH!H1677,OR(N1677="331",O1677="331")),"x","")</f>
        <v/>
      </c>
    </row>
    <row r="1678" spans="1:16" ht="18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122"/>
      <c r="J1678" s="122"/>
      <c r="K1678" s="122"/>
      <c r="L1678" s="122"/>
      <c r="M1678" s="74"/>
      <c r="N1678" s="75"/>
      <c r="O1678" s="75"/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39" t="str">
        <f t="shared" si="73"/>
        <v/>
      </c>
      <c r="B1829" s="439" t="str">
        <f t="shared" si="74"/>
        <v/>
      </c>
      <c r="C1829" s="440"/>
      <c r="D1829" s="440"/>
      <c r="E1829" s="440"/>
      <c r="F1829" s="441"/>
      <c r="G1829" s="442"/>
      <c r="H1829" s="443"/>
      <c r="I1829" s="443"/>
      <c r="J1829" s="443"/>
      <c r="K1829" s="443"/>
      <c r="L1829" s="443"/>
      <c r="M1829" s="444"/>
      <c r="N1829" s="445"/>
      <c r="O1829" s="445"/>
      <c r="P1829" s="446" t="str">
        <f>IF(AND('331-CT'!$E$7=TH!H1829,OR(N1829="331",O1829="331")),"x","")</f>
        <v/>
      </c>
    </row>
    <row r="1830" spans="1:16" s="450" customFormat="1" ht="18" customHeight="1">
      <c r="A1830" s="463" t="s">
        <v>1310</v>
      </c>
      <c r="B1830" s="464"/>
      <c r="C1830" s="464"/>
      <c r="D1830" s="464"/>
      <c r="E1830" s="464"/>
      <c r="F1830" s="464"/>
      <c r="G1830" s="465"/>
      <c r="H1830" s="447"/>
      <c r="I1830" s="447"/>
      <c r="J1830" s="447"/>
      <c r="K1830" s="447"/>
      <c r="L1830" s="447"/>
      <c r="M1830" s="448">
        <f>SUBTOTAL(9,M10:M1828)</f>
        <v>134255298188</v>
      </c>
      <c r="N1830" s="449"/>
      <c r="O1830" s="449"/>
      <c r="P1830" s="449"/>
    </row>
  </sheetData>
  <autoFilter ref="A9:Q1829"/>
  <sortState ref="A843:M949">
    <sortCondition ref="C843:C949"/>
  </sortState>
  <mergeCells count="13">
    <mergeCell ref="A1830:G1830"/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0" activePane="bottomLeft" state="frozen"/>
      <selection pane="bottomLeft" activeCell="J31" sqref="J31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69" t="s">
        <v>79</v>
      </c>
      <c r="B2" s="470" t="s">
        <v>667</v>
      </c>
      <c r="C2" s="470" t="s">
        <v>668</v>
      </c>
      <c r="D2" s="470" t="s">
        <v>669</v>
      </c>
      <c r="E2" s="475" t="s">
        <v>875</v>
      </c>
      <c r="F2" s="476"/>
      <c r="G2" s="476"/>
      <c r="H2" s="476"/>
      <c r="I2" s="477"/>
      <c r="J2" s="481" t="s">
        <v>876</v>
      </c>
      <c r="K2" s="481"/>
      <c r="L2" s="481"/>
      <c r="M2" s="481"/>
      <c r="N2" s="470" t="s">
        <v>723</v>
      </c>
    </row>
    <row r="3" spans="1:15" ht="19.5" customHeight="1">
      <c r="A3" s="469"/>
      <c r="B3" s="472"/>
      <c r="C3" s="472"/>
      <c r="D3" s="472"/>
      <c r="E3" s="470" t="s">
        <v>670</v>
      </c>
      <c r="F3" s="473" t="s">
        <v>671</v>
      </c>
      <c r="G3" s="474"/>
      <c r="H3" s="470" t="s">
        <v>672</v>
      </c>
      <c r="I3" s="478" t="s">
        <v>1055</v>
      </c>
      <c r="J3" s="472" t="s">
        <v>670</v>
      </c>
      <c r="K3" s="472" t="s">
        <v>672</v>
      </c>
      <c r="L3" s="480" t="s">
        <v>1055</v>
      </c>
      <c r="M3" s="472" t="s">
        <v>1063</v>
      </c>
      <c r="N3" s="472"/>
    </row>
    <row r="4" spans="1:15" ht="32.25" customHeight="1">
      <c r="A4" s="469"/>
      <c r="B4" s="471"/>
      <c r="C4" s="471"/>
      <c r="D4" s="471"/>
      <c r="E4" s="471"/>
      <c r="F4" s="392" t="s">
        <v>881</v>
      </c>
      <c r="G4" s="392" t="s">
        <v>882</v>
      </c>
      <c r="H4" s="471"/>
      <c r="I4" s="479"/>
      <c r="J4" s="471"/>
      <c r="K4" s="471"/>
      <c r="L4" s="479"/>
      <c r="M4" s="471"/>
      <c r="N4" s="471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233808666</v>
      </c>
      <c r="H5" s="395">
        <f t="array" ref="H5">SUM(IF("331"&amp;C5=KHN&amp;KH,TH))</f>
        <v>233808666</v>
      </c>
      <c r="I5" s="423">
        <f>G5-H5</f>
        <v>0</v>
      </c>
      <c r="J5" s="395">
        <f>IF(E5&gt;G5,E5,G5)</f>
        <v>233808666</v>
      </c>
      <c r="K5" s="395">
        <f>H5</f>
        <v>233808666</v>
      </c>
      <c r="L5" s="423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963508720</v>
      </c>
      <c r="I19" s="423">
        <f t="shared" si="2"/>
        <v>0</v>
      </c>
      <c r="J19" s="395">
        <f>G19</f>
        <v>963508720</v>
      </c>
      <c r="K19" s="395">
        <f t="shared" si="4"/>
        <v>963508720</v>
      </c>
      <c r="L19" s="423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3">
        <f t="shared" si="2"/>
        <v>666580879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3">
        <f t="shared" si="2"/>
        <v>95000000</v>
      </c>
      <c r="J26" s="395">
        <v>2552000000</v>
      </c>
      <c r="K26" s="395">
        <f>'TH - TT'!I188</f>
        <v>1319481000</v>
      </c>
      <c r="L26" s="423">
        <f t="shared" si="5"/>
        <v>1232519000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TT'!$I$195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TT'!I201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TT'!I214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TT'!H226</f>
        <v>1120135707</v>
      </c>
      <c r="K30" s="395">
        <f>'TH - TT'!I226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3">
        <f t="shared" si="2"/>
        <v>789362910</v>
      </c>
      <c r="J31" s="395">
        <v>1626192957</v>
      </c>
      <c r="K31" s="395">
        <f>'TH - TT'!I236</f>
        <v>800000000</v>
      </c>
      <c r="L31" s="423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TT'!I247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1235720634</v>
      </c>
      <c r="G36" s="395">
        <f>SUMIFS(TH,KHN,"2412",KHC,"1111")</f>
        <v>1235720634</v>
      </c>
      <c r="H36" s="395">
        <f>$G$36</f>
        <v>1235720634</v>
      </c>
      <c r="I36" s="423"/>
      <c r="J36" s="395">
        <f t="shared" ref="J36:K36" si="9">$G$36</f>
        <v>1235720634</v>
      </c>
      <c r="K36" s="395">
        <f t="shared" si="9"/>
        <v>1235720634</v>
      </c>
      <c r="L36" s="423"/>
      <c r="M36" s="395"/>
      <c r="N36" s="395">
        <f t="shared" si="6"/>
        <v>1235720634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2538315624</v>
      </c>
      <c r="G37" s="395">
        <f t="array" ref="G37">SUM(IF(B37=KHN,TH))</f>
        <v>2538315624</v>
      </c>
      <c r="H37" s="395">
        <f>$G$37</f>
        <v>2538315624</v>
      </c>
      <c r="I37" s="423"/>
      <c r="J37" s="395">
        <f t="shared" ref="J37:K37" si="10">$G$37</f>
        <v>2538315624</v>
      </c>
      <c r="K37" s="395">
        <f t="shared" si="10"/>
        <v>2538315624</v>
      </c>
      <c r="L37" s="423"/>
      <c r="M37" s="395"/>
      <c r="N37" s="395">
        <f t="shared" si="6"/>
        <v>2538315624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69" t="s">
        <v>709</v>
      </c>
      <c r="B39" s="469"/>
      <c r="C39" s="469"/>
      <c r="D39" s="469"/>
      <c r="E39" s="403">
        <f t="shared" ref="E39:L39" si="11">SUM(E5:E38)</f>
        <v>34696795333</v>
      </c>
      <c r="F39" s="403">
        <f t="shared" si="11"/>
        <v>31356273699</v>
      </c>
      <c r="G39" s="403">
        <f t="shared" si="11"/>
        <v>34343551506</v>
      </c>
      <c r="H39" s="403">
        <f t="shared" si="11"/>
        <v>32795767947</v>
      </c>
      <c r="I39" s="424">
        <f t="shared" si="11"/>
        <v>1547783559</v>
      </c>
      <c r="J39" s="403">
        <f t="shared" si="11"/>
        <v>34868372129</v>
      </c>
      <c r="K39" s="403">
        <f t="shared" si="11"/>
        <v>28529879575</v>
      </c>
      <c r="L39" s="424">
        <f t="shared" si="11"/>
        <v>6338492554</v>
      </c>
      <c r="M39" s="403"/>
      <c r="N39" s="403">
        <f>SUM(N5:N38)</f>
        <v>38985948610</v>
      </c>
    </row>
    <row r="40" spans="1:15" ht="30" customHeight="1">
      <c r="F40" s="404">
        <f>CDPS!$E$22</f>
        <v>31356273699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64"/>
  <sheetViews>
    <sheetView tabSelected="1" workbookViewId="0">
      <pane xSplit="8" ySplit="4" topLeftCell="I170" activePane="bottomRight" state="frozen"/>
      <selection pane="topRight" activeCell="G1" sqref="G1"/>
      <selection pane="bottomLeft" activeCell="A5" sqref="A5"/>
      <selection pane="bottomRight" activeCell="I186" sqref="I18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7" t="str">
        <f ca="1">"CHI PHÍ XÂY DỰNG TRÀ VINH   " &amp; TEXT(NOW(),"dd/MM/yyyy")</f>
        <v>CHI PHÍ XÂY DỰNG TRÀ VINH   04/07/2016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303"/>
    </row>
    <row r="3" spans="1:12" s="145" customFormat="1" ht="19.5" customHeight="1">
      <c r="A3" s="518" t="s">
        <v>79</v>
      </c>
      <c r="B3" s="518" t="s">
        <v>359</v>
      </c>
      <c r="C3" s="518" t="s">
        <v>360</v>
      </c>
      <c r="D3" s="518" t="s">
        <v>361</v>
      </c>
      <c r="E3" s="519" t="s">
        <v>362</v>
      </c>
      <c r="F3" s="520"/>
      <c r="G3" s="521"/>
      <c r="H3" s="519" t="s">
        <v>363</v>
      </c>
      <c r="I3" s="521"/>
      <c r="J3" s="522" t="s">
        <v>364</v>
      </c>
      <c r="K3" s="518" t="s">
        <v>365</v>
      </c>
      <c r="L3" s="199"/>
    </row>
    <row r="4" spans="1:12" s="148" customFormat="1" ht="19.5" customHeight="1">
      <c r="A4" s="518"/>
      <c r="B4" s="518"/>
      <c r="C4" s="518"/>
      <c r="D4" s="518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3"/>
      <c r="K4" s="518"/>
      <c r="L4" s="304"/>
    </row>
    <row r="5" spans="1:12" s="148" customFormat="1" ht="19.5" customHeight="1">
      <c r="A5" s="516">
        <v>1</v>
      </c>
      <c r="B5" s="524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16"/>
      <c r="B6" s="525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16"/>
      <c r="B7" s="525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16"/>
      <c r="B8" s="525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16"/>
      <c r="B9" s="525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16"/>
      <c r="B10" s="525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16"/>
      <c r="B11" s="525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16"/>
      <c r="B12" s="525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16"/>
      <c r="B13" s="525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16"/>
      <c r="B14" s="525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16"/>
      <c r="B15" s="525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16"/>
      <c r="B16" s="525"/>
      <c r="C16" s="493" t="s">
        <v>94</v>
      </c>
      <c r="D16" s="494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16"/>
      <c r="B17" s="526"/>
      <c r="C17" s="493" t="s">
        <v>379</v>
      </c>
      <c r="D17" s="494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16">
        <v>2</v>
      </c>
      <c r="B18" s="516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16"/>
      <c r="B19" s="516"/>
      <c r="C19" s="493" t="s">
        <v>94</v>
      </c>
      <c r="D19" s="494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16"/>
      <c r="B20" s="516"/>
      <c r="C20" s="493" t="s">
        <v>379</v>
      </c>
      <c r="D20" s="494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16">
        <v>3</v>
      </c>
      <c r="B21" s="516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16"/>
      <c r="B22" s="516"/>
      <c r="C22" s="493" t="s">
        <v>94</v>
      </c>
      <c r="D22" s="494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16"/>
      <c r="B23" s="516"/>
      <c r="C23" s="493" t="s">
        <v>379</v>
      </c>
      <c r="D23" s="494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16">
        <v>4</v>
      </c>
      <c r="B24" s="516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16"/>
      <c r="B25" s="516"/>
      <c r="C25" s="493" t="s">
        <v>94</v>
      </c>
      <c r="D25" s="494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16"/>
      <c r="B26" s="516"/>
      <c r="C26" s="493" t="s">
        <v>379</v>
      </c>
      <c r="D26" s="494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16">
        <v>5</v>
      </c>
      <c r="B27" s="516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16"/>
      <c r="B28" s="516"/>
      <c r="C28" s="493" t="s">
        <v>94</v>
      </c>
      <c r="D28" s="494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16"/>
      <c r="B29" s="516"/>
      <c r="C29" s="493" t="s">
        <v>379</v>
      </c>
      <c r="D29" s="494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16">
        <v>6</v>
      </c>
      <c r="B30" s="516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16"/>
      <c r="B31" s="516"/>
      <c r="C31" s="493" t="s">
        <v>94</v>
      </c>
      <c r="D31" s="494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16"/>
      <c r="B32" s="516"/>
      <c r="C32" s="493" t="s">
        <v>379</v>
      </c>
      <c r="D32" s="494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16">
        <v>7</v>
      </c>
      <c r="B33" s="516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16"/>
      <c r="B34" s="516"/>
      <c r="C34" s="493" t="s">
        <v>94</v>
      </c>
      <c r="D34" s="494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16"/>
      <c r="B35" s="516"/>
      <c r="C35" s="493" t="s">
        <v>379</v>
      </c>
      <c r="D35" s="494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16">
        <v>8</v>
      </c>
      <c r="B36" s="516" t="s">
        <v>89</v>
      </c>
      <c r="C36" s="530" t="s">
        <v>385</v>
      </c>
      <c r="D36" s="538">
        <v>41697</v>
      </c>
      <c r="E36" s="537">
        <f>324737600+1262599800</f>
        <v>1587337400</v>
      </c>
      <c r="F36" s="537">
        <f>324737600+1262599800</f>
        <v>1587337400</v>
      </c>
      <c r="G36" s="164">
        <v>43824000</v>
      </c>
      <c r="H36" s="537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16"/>
      <c r="B37" s="516"/>
      <c r="C37" s="530"/>
      <c r="D37" s="530"/>
      <c r="E37" s="537"/>
      <c r="F37" s="537"/>
      <c r="G37" s="151">
        <v>76462320</v>
      </c>
      <c r="H37" s="537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16"/>
      <c r="B38" s="516"/>
      <c r="C38" s="530"/>
      <c r="D38" s="530"/>
      <c r="E38" s="537"/>
      <c r="F38" s="537"/>
      <c r="G38" s="151">
        <v>133147080</v>
      </c>
      <c r="H38" s="537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16"/>
      <c r="B39" s="516"/>
      <c r="C39" s="530"/>
      <c r="D39" s="530"/>
      <c r="E39" s="537"/>
      <c r="F39" s="537"/>
      <c r="G39" s="151">
        <v>378779940</v>
      </c>
      <c r="H39" s="537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16"/>
      <c r="B40" s="516"/>
      <c r="C40" s="530"/>
      <c r="D40" s="530"/>
      <c r="E40" s="537"/>
      <c r="F40" s="537"/>
      <c r="G40" s="156">
        <v>252519960</v>
      </c>
      <c r="H40" s="537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16"/>
      <c r="B41" s="516"/>
      <c r="C41" s="530"/>
      <c r="D41" s="530"/>
      <c r="E41" s="537"/>
      <c r="F41" s="537"/>
      <c r="G41" s="151">
        <v>378779940</v>
      </c>
      <c r="H41" s="537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16"/>
      <c r="B42" s="516"/>
      <c r="C42" s="530"/>
      <c r="D42" s="530"/>
      <c r="E42" s="537"/>
      <c r="F42" s="537"/>
      <c r="G42" s="170">
        <v>323824160</v>
      </c>
      <c r="H42" s="537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16"/>
      <c r="B43" s="516"/>
      <c r="C43" s="493" t="s">
        <v>94</v>
      </c>
      <c r="D43" s="494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16"/>
      <c r="B44" s="516"/>
      <c r="C44" s="493" t="s">
        <v>379</v>
      </c>
      <c r="D44" s="494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16">
        <v>9</v>
      </c>
      <c r="B45" s="516" t="s">
        <v>91</v>
      </c>
      <c r="C45" s="530" t="s">
        <v>387</v>
      </c>
      <c r="D45" s="538">
        <v>41627</v>
      </c>
      <c r="E45" s="537">
        <v>289000000</v>
      </c>
      <c r="F45" s="537">
        <v>289000000</v>
      </c>
      <c r="G45" s="151">
        <v>20000000</v>
      </c>
      <c r="H45" s="537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16"/>
      <c r="B46" s="516"/>
      <c r="C46" s="530"/>
      <c r="D46" s="530"/>
      <c r="E46" s="537"/>
      <c r="F46" s="537"/>
      <c r="G46" s="151">
        <v>20000000</v>
      </c>
      <c r="H46" s="537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16"/>
      <c r="B47" s="516"/>
      <c r="C47" s="530"/>
      <c r="D47" s="530"/>
      <c r="E47" s="537"/>
      <c r="F47" s="537"/>
      <c r="G47" s="151">
        <v>50000000</v>
      </c>
      <c r="H47" s="537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16"/>
      <c r="B48" s="516"/>
      <c r="C48" s="530"/>
      <c r="D48" s="530"/>
      <c r="E48" s="537"/>
      <c r="F48" s="537"/>
      <c r="G48" s="151">
        <v>50000000</v>
      </c>
      <c r="H48" s="537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16"/>
      <c r="B49" s="516"/>
      <c r="C49" s="530"/>
      <c r="D49" s="530"/>
      <c r="E49" s="537"/>
      <c r="F49" s="537"/>
      <c r="G49" s="151">
        <v>50000000</v>
      </c>
      <c r="H49" s="537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16"/>
      <c r="B50" s="516"/>
      <c r="C50" s="530"/>
      <c r="D50" s="530"/>
      <c r="E50" s="537"/>
      <c r="F50" s="537"/>
      <c r="G50" s="151">
        <v>50000000</v>
      </c>
      <c r="H50" s="537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16"/>
      <c r="B51" s="516"/>
      <c r="C51" s="530"/>
      <c r="D51" s="530"/>
      <c r="E51" s="537"/>
      <c r="F51" s="537"/>
      <c r="G51" s="170">
        <v>49000000</v>
      </c>
      <c r="H51" s="537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16"/>
      <c r="B52" s="516"/>
      <c r="C52" s="493" t="s">
        <v>94</v>
      </c>
      <c r="D52" s="494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16"/>
      <c r="B53" s="516"/>
      <c r="C53" s="493" t="s">
        <v>379</v>
      </c>
      <c r="D53" s="494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87">
        <v>10</v>
      </c>
      <c r="B54" s="488" t="s">
        <v>304</v>
      </c>
      <c r="C54" s="489" t="s">
        <v>404</v>
      </c>
      <c r="D54" s="491">
        <v>42182</v>
      </c>
      <c r="E54" s="482">
        <v>150126466</v>
      </c>
      <c r="F54" s="482">
        <v>150126466</v>
      </c>
      <c r="G54" s="172">
        <v>45000000</v>
      </c>
      <c r="H54" s="482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87"/>
      <c r="B55" s="488"/>
      <c r="C55" s="490"/>
      <c r="D55" s="490"/>
      <c r="E55" s="483"/>
      <c r="F55" s="483"/>
      <c r="G55" s="138">
        <v>105126466</v>
      </c>
      <c r="H55" s="483"/>
      <c r="I55" s="138">
        <v>105126466</v>
      </c>
      <c r="J55" s="176">
        <v>42195</v>
      </c>
      <c r="K55" s="174" t="s">
        <v>372</v>
      </c>
    </row>
    <row r="56" spans="1:12" ht="16.5" customHeight="1">
      <c r="A56" s="487"/>
      <c r="B56" s="488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87"/>
      <c r="B57" s="488"/>
      <c r="C57" s="493" t="s">
        <v>94</v>
      </c>
      <c r="D57" s="494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87"/>
      <c r="B58" s="488"/>
      <c r="C58" s="493" t="s">
        <v>379</v>
      </c>
      <c r="D58" s="494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87">
        <v>11</v>
      </c>
      <c r="B59" s="488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87"/>
      <c r="B60" s="488"/>
      <c r="C60" s="493" t="s">
        <v>94</v>
      </c>
      <c r="D60" s="494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87"/>
      <c r="B61" s="488"/>
      <c r="C61" s="493" t="s">
        <v>379</v>
      </c>
      <c r="D61" s="494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87">
        <v>12</v>
      </c>
      <c r="B62" s="487" t="s">
        <v>90</v>
      </c>
      <c r="C62" s="500" t="s">
        <v>388</v>
      </c>
      <c r="D62" s="502">
        <v>41353</v>
      </c>
      <c r="E62" s="496"/>
      <c r="F62" s="496">
        <v>100000000</v>
      </c>
      <c r="G62" s="177">
        <v>30000000</v>
      </c>
      <c r="H62" s="496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87"/>
      <c r="B63" s="487"/>
      <c r="C63" s="500"/>
      <c r="D63" s="502"/>
      <c r="E63" s="496"/>
      <c r="F63" s="496"/>
      <c r="G63" s="172">
        <v>30000000</v>
      </c>
      <c r="H63" s="496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87"/>
      <c r="B64" s="487"/>
      <c r="C64" s="493" t="s">
        <v>94</v>
      </c>
      <c r="D64" s="494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87"/>
      <c r="B65" s="487"/>
      <c r="C65" s="493" t="s">
        <v>379</v>
      </c>
      <c r="D65" s="494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24">
        <v>13</v>
      </c>
      <c r="B66" s="524" t="s">
        <v>86</v>
      </c>
      <c r="C66" s="529" t="s">
        <v>380</v>
      </c>
      <c r="D66" s="531">
        <v>41292</v>
      </c>
      <c r="E66" s="527">
        <v>60500000</v>
      </c>
      <c r="F66" s="527">
        <v>60500000</v>
      </c>
      <c r="G66" s="164">
        <v>27500000</v>
      </c>
      <c r="H66" s="540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25"/>
      <c r="B67" s="525"/>
      <c r="C67" s="530"/>
      <c r="D67" s="530"/>
      <c r="E67" s="528"/>
      <c r="F67" s="528"/>
      <c r="G67" s="151">
        <v>33000000</v>
      </c>
      <c r="H67" s="537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25"/>
      <c r="B68" s="525"/>
      <c r="C68" s="493" t="s">
        <v>94</v>
      </c>
      <c r="D68" s="494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25"/>
      <c r="B69" s="525"/>
      <c r="C69" s="493" t="s">
        <v>379</v>
      </c>
      <c r="D69" s="494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25"/>
      <c r="B70" s="525"/>
      <c r="C70" s="529" t="s">
        <v>452</v>
      </c>
      <c r="D70" s="531">
        <v>42217</v>
      </c>
      <c r="E70" s="527">
        <v>428000000</v>
      </c>
      <c r="F70" s="527">
        <v>428000000</v>
      </c>
      <c r="G70" s="164">
        <v>128400000</v>
      </c>
      <c r="H70" s="527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25"/>
      <c r="B71" s="525"/>
      <c r="C71" s="530"/>
      <c r="D71" s="530"/>
      <c r="E71" s="528"/>
      <c r="F71" s="528"/>
      <c r="G71" s="151"/>
      <c r="H71" s="528"/>
      <c r="I71" s="151"/>
      <c r="J71" s="166"/>
      <c r="K71" s="227"/>
      <c r="L71" s="305"/>
    </row>
    <row r="72" spans="1:13" s="161" customFormat="1" ht="17.25" customHeight="1">
      <c r="A72" s="525"/>
      <c r="B72" s="525"/>
      <c r="C72" s="493" t="s">
        <v>94</v>
      </c>
      <c r="D72" s="494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26"/>
      <c r="B73" s="526"/>
      <c r="C73" s="493" t="s">
        <v>379</v>
      </c>
      <c r="D73" s="494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87">
        <v>14</v>
      </c>
      <c r="B74" s="487" t="s">
        <v>109</v>
      </c>
      <c r="C74" s="500" t="s">
        <v>388</v>
      </c>
      <c r="D74" s="502">
        <v>41353</v>
      </c>
      <c r="E74" s="496"/>
      <c r="F74" s="496">
        <v>200000000</v>
      </c>
      <c r="G74" s="172">
        <f>IF(I74&gt;0,I74,0)</f>
        <v>50000000</v>
      </c>
      <c r="H74" s="496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87"/>
      <c r="B75" s="487"/>
      <c r="C75" s="500"/>
      <c r="D75" s="502"/>
      <c r="E75" s="496"/>
      <c r="F75" s="496"/>
      <c r="G75" s="172">
        <f t="shared" ref="G75:G77" si="1">IF(I75&gt;0,I75,0)</f>
        <v>50000000</v>
      </c>
      <c r="H75" s="496"/>
      <c r="I75" s="177">
        <v>50000000</v>
      </c>
      <c r="J75" s="176">
        <v>42034</v>
      </c>
      <c r="K75" s="174" t="s">
        <v>372</v>
      </c>
    </row>
    <row r="76" spans="1:13" ht="17.25" customHeight="1">
      <c r="A76" s="487"/>
      <c r="B76" s="487"/>
      <c r="C76" s="500"/>
      <c r="D76" s="502"/>
      <c r="E76" s="496"/>
      <c r="F76" s="496"/>
      <c r="G76" s="172">
        <f t="shared" si="1"/>
        <v>50000000</v>
      </c>
      <c r="H76" s="496"/>
      <c r="I76" s="177">
        <v>50000000</v>
      </c>
      <c r="J76" s="176">
        <v>42144</v>
      </c>
      <c r="K76" s="174" t="s">
        <v>372</v>
      </c>
    </row>
    <row r="77" spans="1:13" ht="17.25" customHeight="1">
      <c r="A77" s="487"/>
      <c r="B77" s="487"/>
      <c r="C77" s="500"/>
      <c r="D77" s="502"/>
      <c r="E77" s="496"/>
      <c r="F77" s="496"/>
      <c r="G77" s="172">
        <f t="shared" si="1"/>
        <v>0</v>
      </c>
      <c r="H77" s="496"/>
      <c r="I77" s="151"/>
      <c r="J77" s="183"/>
      <c r="K77" s="184"/>
    </row>
    <row r="78" spans="1:13" s="161" customFormat="1" ht="18" customHeight="1">
      <c r="A78" s="487"/>
      <c r="B78" s="487"/>
      <c r="C78" s="493" t="s">
        <v>94</v>
      </c>
      <c r="D78" s="494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87"/>
      <c r="B79" s="487"/>
      <c r="C79" s="493" t="s">
        <v>379</v>
      </c>
      <c r="D79" s="494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87">
        <v>15</v>
      </c>
      <c r="B80" s="487" t="s">
        <v>399</v>
      </c>
      <c r="C80" s="500" t="s">
        <v>400</v>
      </c>
      <c r="D80" s="502">
        <v>42118</v>
      </c>
      <c r="E80" s="496">
        <v>255297700</v>
      </c>
      <c r="F80" s="496">
        <v>255297700</v>
      </c>
      <c r="G80" s="172">
        <v>100000000</v>
      </c>
      <c r="H80" s="496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87"/>
      <c r="B81" s="487"/>
      <c r="C81" s="500"/>
      <c r="D81" s="502"/>
      <c r="E81" s="496"/>
      <c r="F81" s="496"/>
      <c r="G81" s="172">
        <v>100000000</v>
      </c>
      <c r="H81" s="496"/>
      <c r="I81" s="172">
        <v>100000000</v>
      </c>
      <c r="J81" s="176">
        <v>42157</v>
      </c>
      <c r="K81" s="174" t="s">
        <v>372</v>
      </c>
    </row>
    <row r="82" spans="1:12" ht="16.5" customHeight="1">
      <c r="A82" s="487"/>
      <c r="B82" s="487"/>
      <c r="C82" s="500"/>
      <c r="D82" s="502"/>
      <c r="E82" s="496"/>
      <c r="F82" s="496"/>
      <c r="G82" s="172">
        <v>55297700</v>
      </c>
      <c r="H82" s="496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87"/>
      <c r="B83" s="487"/>
      <c r="C83" s="493" t="s">
        <v>94</v>
      </c>
      <c r="D83" s="494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87"/>
      <c r="B84" s="487"/>
      <c r="C84" s="493" t="s">
        <v>379</v>
      </c>
      <c r="D84" s="494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87"/>
      <c r="B85" s="487"/>
      <c r="C85" s="510" t="s">
        <v>493</v>
      </c>
      <c r="D85" s="513">
        <v>42203</v>
      </c>
      <c r="E85" s="507">
        <f>H85</f>
        <v>708211020</v>
      </c>
      <c r="F85" s="507">
        <f>188280000+102950000+150022500</f>
        <v>441252500</v>
      </c>
      <c r="G85" s="179">
        <v>100000000</v>
      </c>
      <c r="H85" s="497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87"/>
      <c r="B86" s="487"/>
      <c r="C86" s="511"/>
      <c r="D86" s="514"/>
      <c r="E86" s="483"/>
      <c r="F86" s="483"/>
      <c r="G86" s="172">
        <v>200000000</v>
      </c>
      <c r="H86" s="496"/>
      <c r="I86" s="172">
        <v>200000000</v>
      </c>
      <c r="J86" s="429">
        <v>42212</v>
      </c>
      <c r="K86" s="428" t="s">
        <v>372</v>
      </c>
    </row>
    <row r="87" spans="1:12" ht="16.5" customHeight="1">
      <c r="A87" s="487"/>
      <c r="B87" s="487"/>
      <c r="C87" s="511"/>
      <c r="D87" s="514"/>
      <c r="E87" s="483"/>
      <c r="F87" s="483"/>
      <c r="G87" s="172">
        <f>I87</f>
        <v>201012500</v>
      </c>
      <c r="H87" s="496"/>
      <c r="I87" s="172">
        <v>201012500</v>
      </c>
      <c r="J87" s="429">
        <v>42266</v>
      </c>
      <c r="K87" s="428" t="s">
        <v>372</v>
      </c>
    </row>
    <row r="88" spans="1:12" ht="16.5" customHeight="1">
      <c r="A88" s="487"/>
      <c r="B88" s="487"/>
      <c r="C88" s="511"/>
      <c r="D88" s="514"/>
      <c r="E88" s="483"/>
      <c r="F88" s="483"/>
      <c r="G88" s="172">
        <f>I88</f>
        <v>114906620</v>
      </c>
      <c r="H88" s="496"/>
      <c r="I88" s="172">
        <v>114906620</v>
      </c>
      <c r="J88" s="429">
        <v>42349</v>
      </c>
      <c r="K88" s="428" t="s">
        <v>372</v>
      </c>
    </row>
    <row r="89" spans="1:12" ht="16.5" customHeight="1">
      <c r="A89" s="487"/>
      <c r="B89" s="487"/>
      <c r="C89" s="511"/>
      <c r="D89" s="514"/>
      <c r="E89" s="483"/>
      <c r="F89" s="483"/>
      <c r="G89" s="172"/>
      <c r="H89" s="496"/>
      <c r="I89" s="172"/>
      <c r="J89" s="429"/>
      <c r="K89" s="428"/>
    </row>
    <row r="90" spans="1:12" ht="16.5" customHeight="1">
      <c r="A90" s="487"/>
      <c r="B90" s="487"/>
      <c r="C90" s="512"/>
      <c r="D90" s="515"/>
      <c r="E90" s="508"/>
      <c r="F90" s="508"/>
      <c r="G90" s="385"/>
      <c r="H90" s="498"/>
      <c r="I90" s="385"/>
      <c r="J90" s="191"/>
      <c r="K90" s="430"/>
    </row>
    <row r="91" spans="1:12" s="161" customFormat="1" ht="18" customHeight="1">
      <c r="A91" s="487"/>
      <c r="B91" s="487"/>
      <c r="C91" s="493" t="s">
        <v>94</v>
      </c>
      <c r="D91" s="494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87"/>
      <c r="B92" s="487"/>
      <c r="C92" s="493" t="s">
        <v>379</v>
      </c>
      <c r="D92" s="494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87">
        <v>16</v>
      </c>
      <c r="B93" s="488" t="s">
        <v>301</v>
      </c>
      <c r="C93" s="489" t="s">
        <v>403</v>
      </c>
      <c r="D93" s="491"/>
      <c r="E93" s="482">
        <f>F93</f>
        <v>570000000</v>
      </c>
      <c r="F93" s="482">
        <v>570000000</v>
      </c>
      <c r="G93" s="172">
        <v>171000000</v>
      </c>
      <c r="H93" s="482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87"/>
      <c r="B94" s="488"/>
      <c r="C94" s="490"/>
      <c r="D94" s="492"/>
      <c r="E94" s="483"/>
      <c r="F94" s="483"/>
      <c r="G94" s="172">
        <v>228000000</v>
      </c>
      <c r="H94" s="483"/>
      <c r="I94" s="172">
        <v>228000000</v>
      </c>
      <c r="J94" s="176">
        <v>42251</v>
      </c>
      <c r="K94" s="243" t="s">
        <v>372</v>
      </c>
    </row>
    <row r="95" spans="1:12" ht="16.5" customHeight="1">
      <c r="A95" s="487"/>
      <c r="B95" s="488"/>
      <c r="C95" s="490"/>
      <c r="D95" s="492"/>
      <c r="E95" s="483"/>
      <c r="F95" s="483"/>
      <c r="G95" s="177">
        <f>I95</f>
        <v>171000000</v>
      </c>
      <c r="H95" s="483"/>
      <c r="I95" s="151">
        <v>171000000</v>
      </c>
      <c r="J95" s="429">
        <v>42399</v>
      </c>
      <c r="K95" s="431" t="s">
        <v>372</v>
      </c>
    </row>
    <row r="96" spans="1:12" ht="16.5" customHeight="1">
      <c r="A96" s="487"/>
      <c r="B96" s="488"/>
      <c r="C96" s="490"/>
      <c r="D96" s="492"/>
      <c r="E96" s="483"/>
      <c r="F96" s="483"/>
      <c r="G96" s="177"/>
      <c r="H96" s="483"/>
      <c r="I96" s="172"/>
      <c r="J96" s="429"/>
      <c r="K96" s="431"/>
    </row>
    <row r="97" spans="1:12" ht="16.5" customHeight="1">
      <c r="A97" s="487"/>
      <c r="B97" s="488"/>
      <c r="C97" s="490"/>
      <c r="D97" s="490"/>
      <c r="E97" s="483"/>
      <c r="F97" s="483"/>
      <c r="G97" s="138"/>
      <c r="H97" s="483"/>
      <c r="I97" s="151"/>
      <c r="J97" s="176"/>
      <c r="K97" s="431"/>
    </row>
    <row r="98" spans="1:12" s="161" customFormat="1" ht="18" customHeight="1">
      <c r="A98" s="487"/>
      <c r="B98" s="488"/>
      <c r="C98" s="493" t="s">
        <v>94</v>
      </c>
      <c r="D98" s="494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87"/>
      <c r="B99" s="488"/>
      <c r="C99" s="493" t="s">
        <v>379</v>
      </c>
      <c r="D99" s="494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87">
        <v>17</v>
      </c>
      <c r="B100" s="488" t="s">
        <v>453</v>
      </c>
      <c r="C100" s="495" t="s">
        <v>441</v>
      </c>
      <c r="D100" s="491">
        <v>42230</v>
      </c>
      <c r="E100" s="482">
        <v>599632000</v>
      </c>
      <c r="F100" s="482">
        <f>E100</f>
        <v>599632000</v>
      </c>
      <c r="G100" s="151">
        <v>200000000</v>
      </c>
      <c r="H100" s="482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87"/>
      <c r="B101" s="488"/>
      <c r="C101" s="490"/>
      <c r="D101" s="492"/>
      <c r="E101" s="483"/>
      <c r="F101" s="483"/>
      <c r="G101" s="164"/>
      <c r="H101" s="483"/>
      <c r="I101" s="151"/>
      <c r="J101" s="228"/>
      <c r="K101" s="230"/>
    </row>
    <row r="102" spans="1:12" s="161" customFormat="1" ht="18" customHeight="1">
      <c r="A102" s="487"/>
      <c r="B102" s="488"/>
      <c r="C102" s="493" t="s">
        <v>94</v>
      </c>
      <c r="D102" s="494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87"/>
      <c r="B103" s="488"/>
      <c r="C103" s="493" t="s">
        <v>379</v>
      </c>
      <c r="D103" s="494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87">
        <v>18</v>
      </c>
      <c r="B104" s="487" t="s">
        <v>85</v>
      </c>
      <c r="C104" s="499" t="s">
        <v>389</v>
      </c>
      <c r="D104" s="532">
        <v>40549</v>
      </c>
      <c r="E104" s="497">
        <v>1000000000</v>
      </c>
      <c r="F104" s="497">
        <v>1150000000</v>
      </c>
      <c r="G104" s="172">
        <f t="shared" ref="G104:G116" si="2">IF(I104&gt;0,I104,0)</f>
        <v>100000000</v>
      </c>
      <c r="H104" s="497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87"/>
      <c r="B105" s="487"/>
      <c r="C105" s="500"/>
      <c r="D105" s="533"/>
      <c r="E105" s="496"/>
      <c r="F105" s="496"/>
      <c r="G105" s="172">
        <f t="shared" si="2"/>
        <v>50000000</v>
      </c>
      <c r="H105" s="496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87"/>
      <c r="B106" s="487"/>
      <c r="C106" s="500"/>
      <c r="D106" s="533"/>
      <c r="E106" s="496"/>
      <c r="F106" s="496"/>
      <c r="G106" s="172">
        <f t="shared" si="2"/>
        <v>100000000</v>
      </c>
      <c r="H106" s="496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87"/>
      <c r="B107" s="487"/>
      <c r="C107" s="500"/>
      <c r="D107" s="533"/>
      <c r="E107" s="496"/>
      <c r="F107" s="496"/>
      <c r="G107" s="172"/>
      <c r="H107" s="496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87"/>
      <c r="B108" s="487"/>
      <c r="C108" s="500"/>
      <c r="D108" s="533"/>
      <c r="E108" s="496"/>
      <c r="F108" s="496"/>
      <c r="G108" s="172">
        <f t="shared" si="2"/>
        <v>200000000</v>
      </c>
      <c r="H108" s="496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87"/>
      <c r="B109" s="487"/>
      <c r="C109" s="500"/>
      <c r="D109" s="533"/>
      <c r="E109" s="496"/>
      <c r="F109" s="496"/>
      <c r="G109" s="172">
        <f t="shared" si="2"/>
        <v>0</v>
      </c>
      <c r="H109" s="496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87"/>
      <c r="B110" s="487"/>
      <c r="C110" s="500"/>
      <c r="D110" s="533"/>
      <c r="E110" s="496"/>
      <c r="F110" s="496"/>
      <c r="G110" s="172">
        <f t="shared" si="2"/>
        <v>100000000</v>
      </c>
      <c r="H110" s="496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87"/>
      <c r="B111" s="487"/>
      <c r="C111" s="500"/>
      <c r="D111" s="533"/>
      <c r="E111" s="496"/>
      <c r="F111" s="496"/>
      <c r="G111" s="172"/>
      <c r="H111" s="496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87"/>
      <c r="B112" s="487"/>
      <c r="C112" s="500"/>
      <c r="D112" s="533"/>
      <c r="E112" s="496"/>
      <c r="F112" s="496"/>
      <c r="G112" s="172">
        <f t="shared" si="2"/>
        <v>100000000</v>
      </c>
      <c r="H112" s="496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87"/>
      <c r="B113" s="487"/>
      <c r="C113" s="500"/>
      <c r="D113" s="533"/>
      <c r="E113" s="496"/>
      <c r="F113" s="496"/>
      <c r="G113" s="172">
        <f t="shared" si="2"/>
        <v>50000000</v>
      </c>
      <c r="H113" s="496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87"/>
      <c r="B114" s="487"/>
      <c r="C114" s="500"/>
      <c r="D114" s="533"/>
      <c r="E114" s="496"/>
      <c r="F114" s="496"/>
      <c r="G114" s="172">
        <f t="shared" si="2"/>
        <v>100000000</v>
      </c>
      <c r="H114" s="496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87"/>
      <c r="B115" s="487"/>
      <c r="C115" s="500"/>
      <c r="D115" s="533"/>
      <c r="E115" s="496"/>
      <c r="F115" s="496"/>
      <c r="G115" s="172"/>
      <c r="H115" s="496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87"/>
      <c r="B116" s="487"/>
      <c r="C116" s="500"/>
      <c r="D116" s="533"/>
      <c r="E116" s="496"/>
      <c r="F116" s="496"/>
      <c r="G116" s="172">
        <f t="shared" si="2"/>
        <v>50000000</v>
      </c>
      <c r="H116" s="496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87"/>
      <c r="B117" s="487"/>
      <c r="C117" s="500" t="s">
        <v>391</v>
      </c>
      <c r="D117" s="533">
        <v>41860</v>
      </c>
      <c r="E117" s="496">
        <v>7500000000</v>
      </c>
      <c r="F117" s="496">
        <v>10172555140</v>
      </c>
      <c r="G117" s="172">
        <f>IF(I117&gt;0,I117,0)</f>
        <v>800000000</v>
      </c>
      <c r="H117" s="496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87"/>
      <c r="B118" s="487"/>
      <c r="C118" s="500"/>
      <c r="D118" s="533"/>
      <c r="E118" s="496"/>
      <c r="F118" s="496"/>
      <c r="G118" s="172">
        <f t="shared" ref="G118:G131" si="3">IF(I118&gt;0,I118,0)</f>
        <v>1500000000</v>
      </c>
      <c r="H118" s="496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87"/>
      <c r="B119" s="487"/>
      <c r="C119" s="500"/>
      <c r="D119" s="533"/>
      <c r="E119" s="496"/>
      <c r="F119" s="496"/>
      <c r="G119" s="172">
        <f t="shared" si="3"/>
        <v>1000000000</v>
      </c>
      <c r="H119" s="496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87"/>
      <c r="B120" s="487"/>
      <c r="C120" s="500"/>
      <c r="D120" s="533"/>
      <c r="E120" s="496"/>
      <c r="F120" s="496"/>
      <c r="G120" s="172">
        <f t="shared" si="3"/>
        <v>1000000000</v>
      </c>
      <c r="H120" s="496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87"/>
      <c r="B121" s="487"/>
      <c r="C121" s="500"/>
      <c r="D121" s="533"/>
      <c r="E121" s="496"/>
      <c r="F121" s="496"/>
      <c r="G121" s="172">
        <f t="shared" si="3"/>
        <v>700000000</v>
      </c>
      <c r="H121" s="496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87"/>
      <c r="B122" s="487"/>
      <c r="C122" s="500"/>
      <c r="D122" s="533"/>
      <c r="E122" s="496"/>
      <c r="F122" s="496"/>
      <c r="G122" s="172">
        <f t="shared" si="3"/>
        <v>500000000</v>
      </c>
      <c r="H122" s="496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87"/>
      <c r="B123" s="487"/>
      <c r="C123" s="500"/>
      <c r="D123" s="533"/>
      <c r="E123" s="496"/>
      <c r="F123" s="496"/>
      <c r="G123" s="172">
        <f t="shared" si="3"/>
        <v>500000000</v>
      </c>
      <c r="H123" s="496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87"/>
      <c r="B124" s="487"/>
      <c r="C124" s="500"/>
      <c r="D124" s="533"/>
      <c r="E124" s="496"/>
      <c r="F124" s="496"/>
      <c r="G124" s="172">
        <f t="shared" si="3"/>
        <v>500000000</v>
      </c>
      <c r="H124" s="496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87"/>
      <c r="B125" s="487"/>
      <c r="C125" s="500"/>
      <c r="D125" s="533"/>
      <c r="E125" s="496"/>
      <c r="F125" s="496"/>
      <c r="G125" s="172">
        <f t="shared" si="3"/>
        <v>1000000000</v>
      </c>
      <c r="H125" s="496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87"/>
      <c r="B126" s="487"/>
      <c r="C126" s="489"/>
      <c r="D126" s="535"/>
      <c r="E126" s="482"/>
      <c r="F126" s="482"/>
      <c r="G126" s="172">
        <f t="shared" si="3"/>
        <v>300000000</v>
      </c>
      <c r="H126" s="482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87"/>
      <c r="B127" s="487"/>
      <c r="C127" s="489"/>
      <c r="D127" s="535"/>
      <c r="E127" s="482"/>
      <c r="F127" s="482"/>
      <c r="G127" s="172">
        <f t="shared" si="3"/>
        <v>200000000</v>
      </c>
      <c r="H127" s="482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87"/>
      <c r="B128" s="487"/>
      <c r="C128" s="489"/>
      <c r="D128" s="535"/>
      <c r="E128" s="482"/>
      <c r="F128" s="482"/>
      <c r="G128" s="172">
        <f t="shared" si="3"/>
        <v>200000000</v>
      </c>
      <c r="H128" s="482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87"/>
      <c r="B129" s="487"/>
      <c r="C129" s="489"/>
      <c r="D129" s="535"/>
      <c r="E129" s="482"/>
      <c r="F129" s="482"/>
      <c r="G129" s="172">
        <f t="shared" si="3"/>
        <v>300000000</v>
      </c>
      <c r="H129" s="482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87"/>
      <c r="B130" s="487"/>
      <c r="C130" s="489"/>
      <c r="D130" s="535"/>
      <c r="E130" s="482"/>
      <c r="F130" s="482"/>
      <c r="G130" s="172">
        <f t="shared" si="3"/>
        <v>0</v>
      </c>
      <c r="H130" s="482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87"/>
      <c r="B131" s="487"/>
      <c r="C131" s="534"/>
      <c r="D131" s="536"/>
      <c r="E131" s="498"/>
      <c r="F131" s="498"/>
      <c r="G131" s="172">
        <f t="shared" si="3"/>
        <v>0</v>
      </c>
      <c r="H131" s="498"/>
      <c r="I131" s="138"/>
      <c r="J131" s="176"/>
      <c r="K131" s="174"/>
    </row>
    <row r="132" spans="1:12" s="161" customFormat="1" ht="18" customHeight="1">
      <c r="A132" s="487"/>
      <c r="B132" s="487"/>
      <c r="C132" s="493" t="s">
        <v>94</v>
      </c>
      <c r="D132" s="494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87"/>
      <c r="B133" s="487"/>
      <c r="C133" s="493" t="s">
        <v>379</v>
      </c>
      <c r="D133" s="494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87">
        <v>19</v>
      </c>
      <c r="B134" s="487" t="s">
        <v>111</v>
      </c>
      <c r="C134" s="489" t="s">
        <v>393</v>
      </c>
      <c r="D134" s="491">
        <v>41871</v>
      </c>
      <c r="E134" s="482">
        <v>2200000000</v>
      </c>
      <c r="F134" s="482">
        <f>2508700000</f>
        <v>2508700000</v>
      </c>
      <c r="G134" s="172">
        <f>IF(I134&gt;0,I134,0)</f>
        <v>752610000</v>
      </c>
      <c r="H134" s="482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87"/>
      <c r="B135" s="487"/>
      <c r="C135" s="490"/>
      <c r="D135" s="490"/>
      <c r="E135" s="483"/>
      <c r="F135" s="483"/>
      <c r="G135" s="172">
        <f t="shared" ref="G135:G146" si="4">IF(I135&gt;0,I135,0)</f>
        <v>0</v>
      </c>
      <c r="H135" s="483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87"/>
      <c r="B136" s="487"/>
      <c r="C136" s="490"/>
      <c r="D136" s="490"/>
      <c r="E136" s="483"/>
      <c r="F136" s="483"/>
      <c r="G136" s="172">
        <f t="shared" si="4"/>
        <v>500000000</v>
      </c>
      <c r="H136" s="483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87"/>
      <c r="B137" s="487"/>
      <c r="C137" s="490"/>
      <c r="D137" s="490"/>
      <c r="E137" s="483"/>
      <c r="F137" s="483"/>
      <c r="G137" s="172">
        <f t="shared" si="4"/>
        <v>0</v>
      </c>
      <c r="H137" s="483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87"/>
      <c r="B138" s="487"/>
      <c r="C138" s="490"/>
      <c r="D138" s="490"/>
      <c r="E138" s="483"/>
      <c r="F138" s="483"/>
      <c r="G138" s="172">
        <f t="shared" si="4"/>
        <v>500000000</v>
      </c>
      <c r="H138" s="483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87"/>
      <c r="B139" s="487"/>
      <c r="C139" s="490" t="s">
        <v>394</v>
      </c>
      <c r="D139" s="492">
        <v>42139</v>
      </c>
      <c r="E139" s="501">
        <f>308700000+501400000</f>
        <v>810100000</v>
      </c>
      <c r="F139" s="501">
        <f>184000000+317400000</f>
        <v>501400000</v>
      </c>
      <c r="G139" s="172">
        <f t="shared" si="4"/>
        <v>0</v>
      </c>
      <c r="H139" s="483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87"/>
      <c r="B140" s="487"/>
      <c r="C140" s="490"/>
      <c r="D140" s="492"/>
      <c r="E140" s="501"/>
      <c r="F140" s="501"/>
      <c r="G140" s="172">
        <f t="shared" si="4"/>
        <v>251000000</v>
      </c>
      <c r="H140" s="483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87"/>
      <c r="B141" s="487"/>
      <c r="C141" s="490"/>
      <c r="D141" s="492"/>
      <c r="E141" s="501"/>
      <c r="F141" s="501"/>
      <c r="G141" s="172">
        <f t="shared" si="4"/>
        <v>200000000</v>
      </c>
      <c r="H141" s="483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87"/>
      <c r="B142" s="487"/>
      <c r="C142" s="490"/>
      <c r="D142" s="492"/>
      <c r="E142" s="501"/>
      <c r="F142" s="501"/>
      <c r="G142" s="172">
        <f t="shared" si="4"/>
        <v>400000000</v>
      </c>
      <c r="H142" s="483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87"/>
      <c r="B143" s="487"/>
      <c r="C143" s="490"/>
      <c r="D143" s="492"/>
      <c r="E143" s="501"/>
      <c r="F143" s="501"/>
      <c r="G143" s="172">
        <f t="shared" si="4"/>
        <v>0</v>
      </c>
      <c r="H143" s="483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87"/>
      <c r="B144" s="487"/>
      <c r="C144" s="490"/>
      <c r="D144" s="492"/>
      <c r="E144" s="501"/>
      <c r="F144" s="501"/>
      <c r="G144" s="172">
        <f t="shared" si="4"/>
        <v>406490000</v>
      </c>
      <c r="H144" s="483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87"/>
      <c r="B145" s="487"/>
      <c r="C145" s="490"/>
      <c r="D145" s="492"/>
      <c r="E145" s="501"/>
      <c r="F145" s="501"/>
      <c r="G145" s="172">
        <f t="shared" si="4"/>
        <v>0</v>
      </c>
      <c r="H145" s="483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87"/>
      <c r="B146" s="487"/>
      <c r="C146" s="490"/>
      <c r="D146" s="492"/>
      <c r="E146" s="501"/>
      <c r="F146" s="501"/>
      <c r="G146" s="172">
        <f t="shared" si="4"/>
        <v>0</v>
      </c>
      <c r="H146" s="483"/>
      <c r="I146" s="151"/>
      <c r="J146" s="151"/>
      <c r="K146" s="151"/>
    </row>
    <row r="147" spans="1:12" s="161" customFormat="1" ht="18" customHeight="1">
      <c r="A147" s="487"/>
      <c r="B147" s="487"/>
      <c r="C147" s="493" t="s">
        <v>94</v>
      </c>
      <c r="D147" s="494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87"/>
      <c r="B148" s="487"/>
      <c r="C148" s="493" t="s">
        <v>379</v>
      </c>
      <c r="D148" s="494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87">
        <v>20</v>
      </c>
      <c r="B149" s="487" t="s">
        <v>138</v>
      </c>
      <c r="C149" s="500" t="s">
        <v>395</v>
      </c>
      <c r="D149" s="502">
        <v>42014</v>
      </c>
      <c r="E149" s="496">
        <f>2200000000</f>
        <v>2200000000</v>
      </c>
      <c r="F149" s="496">
        <v>3500000000</v>
      </c>
      <c r="G149" s="172">
        <f>IF(I149&gt;0,I149,0)</f>
        <v>600000000</v>
      </c>
      <c r="H149" s="496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87"/>
      <c r="B150" s="487"/>
      <c r="C150" s="500"/>
      <c r="D150" s="500"/>
      <c r="E150" s="496"/>
      <c r="F150" s="496"/>
      <c r="G150" s="172">
        <f t="shared" ref="G150:G157" si="5">IF(I150&gt;0,I150,0)</f>
        <v>600000000</v>
      </c>
      <c r="H150" s="496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87"/>
      <c r="B151" s="487"/>
      <c r="C151" s="500"/>
      <c r="D151" s="500"/>
      <c r="E151" s="496"/>
      <c r="F151" s="496"/>
      <c r="G151" s="172">
        <f t="shared" si="5"/>
        <v>500000000</v>
      </c>
      <c r="H151" s="496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87"/>
      <c r="B152" s="487"/>
      <c r="C152" s="500"/>
      <c r="D152" s="500"/>
      <c r="E152" s="496"/>
      <c r="F152" s="496"/>
      <c r="G152" s="172">
        <f t="shared" si="5"/>
        <v>500000000</v>
      </c>
      <c r="H152" s="496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87"/>
      <c r="B153" s="487"/>
      <c r="C153" s="500"/>
      <c r="D153" s="500"/>
      <c r="E153" s="496"/>
      <c r="F153" s="496"/>
      <c r="G153" s="172">
        <f t="shared" si="5"/>
        <v>0</v>
      </c>
      <c r="H153" s="496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87"/>
      <c r="B154" s="487"/>
      <c r="C154" s="500"/>
      <c r="D154" s="500"/>
      <c r="E154" s="496"/>
      <c r="F154" s="496"/>
      <c r="G154" s="172">
        <f t="shared" si="5"/>
        <v>500000000</v>
      </c>
      <c r="H154" s="496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87"/>
      <c r="B155" s="487"/>
      <c r="C155" s="500"/>
      <c r="D155" s="500"/>
      <c r="E155" s="496"/>
      <c r="F155" s="496"/>
      <c r="G155" s="172">
        <f t="shared" si="5"/>
        <v>500000000</v>
      </c>
      <c r="H155" s="496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87"/>
      <c r="B156" s="487"/>
      <c r="C156" s="500"/>
      <c r="D156" s="500"/>
      <c r="E156" s="496"/>
      <c r="F156" s="496"/>
      <c r="G156" s="172">
        <f t="shared" si="5"/>
        <v>0</v>
      </c>
      <c r="H156" s="496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87"/>
      <c r="B157" s="487"/>
      <c r="C157" s="500"/>
      <c r="D157" s="500"/>
      <c r="E157" s="496"/>
      <c r="F157" s="496"/>
      <c r="G157" s="172">
        <f t="shared" si="5"/>
        <v>0</v>
      </c>
      <c r="H157" s="496"/>
      <c r="I157" s="151"/>
      <c r="J157" s="176"/>
      <c r="K157" s="174"/>
    </row>
    <row r="158" spans="1:12" s="161" customFormat="1" ht="18" customHeight="1">
      <c r="A158" s="487"/>
      <c r="B158" s="487"/>
      <c r="C158" s="493" t="s">
        <v>94</v>
      </c>
      <c r="D158" s="494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87"/>
      <c r="B159" s="487"/>
      <c r="C159" s="493" t="s">
        <v>379</v>
      </c>
      <c r="D159" s="494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87">
        <v>21</v>
      </c>
      <c r="B160" s="487" t="s">
        <v>150</v>
      </c>
      <c r="C160" s="500" t="s">
        <v>396</v>
      </c>
      <c r="D160" s="502">
        <v>42088</v>
      </c>
      <c r="E160" s="496">
        <v>1893507770</v>
      </c>
      <c r="F160" s="496">
        <v>1858997690</v>
      </c>
      <c r="G160" s="172">
        <f t="shared" ref="G160:G164" si="6">IF(I160&gt;0,I160,0)</f>
        <v>360000000</v>
      </c>
      <c r="H160" s="496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87"/>
      <c r="B161" s="487"/>
      <c r="C161" s="500"/>
      <c r="D161" s="502"/>
      <c r="E161" s="496"/>
      <c r="F161" s="496"/>
      <c r="G161" s="172">
        <f t="shared" si="6"/>
        <v>500000000</v>
      </c>
      <c r="H161" s="496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87"/>
      <c r="B162" s="487"/>
      <c r="C162" s="500"/>
      <c r="D162" s="502"/>
      <c r="E162" s="496"/>
      <c r="F162" s="496"/>
      <c r="G162" s="172">
        <f t="shared" si="6"/>
        <v>0</v>
      </c>
      <c r="H162" s="496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87"/>
      <c r="B163" s="487"/>
      <c r="C163" s="500"/>
      <c r="D163" s="502"/>
      <c r="E163" s="496"/>
      <c r="F163" s="496"/>
      <c r="G163" s="172">
        <f t="shared" si="6"/>
        <v>0</v>
      </c>
      <c r="H163" s="496"/>
      <c r="I163" s="177"/>
      <c r="J163" s="173"/>
      <c r="K163" s="422"/>
    </row>
    <row r="164" spans="1:12" ht="17.25" customHeight="1">
      <c r="A164" s="487"/>
      <c r="B164" s="487"/>
      <c r="C164" s="500"/>
      <c r="D164" s="500"/>
      <c r="E164" s="496"/>
      <c r="F164" s="496"/>
      <c r="G164" s="172">
        <f t="shared" si="6"/>
        <v>0</v>
      </c>
      <c r="H164" s="496"/>
      <c r="I164" s="151"/>
      <c r="J164" s="176"/>
      <c r="K164" s="174"/>
    </row>
    <row r="165" spans="1:12" s="161" customFormat="1" ht="18" customHeight="1">
      <c r="A165" s="487"/>
      <c r="B165" s="487"/>
      <c r="C165" s="493" t="s">
        <v>94</v>
      </c>
      <c r="D165" s="494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87"/>
      <c r="B166" s="487"/>
      <c r="C166" s="493" t="s">
        <v>379</v>
      </c>
      <c r="D166" s="494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87">
        <v>22</v>
      </c>
      <c r="B167" s="488" t="s">
        <v>305</v>
      </c>
      <c r="C167" s="489" t="s">
        <v>405</v>
      </c>
      <c r="D167" s="491">
        <v>42173</v>
      </c>
      <c r="E167" s="482"/>
      <c r="F167" s="482">
        <v>3652000000</v>
      </c>
      <c r="G167" s="172">
        <f>IF(I167&gt;0,I167,0)</f>
        <v>100000000</v>
      </c>
      <c r="H167" s="482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87"/>
      <c r="B168" s="488"/>
      <c r="C168" s="490"/>
      <c r="D168" s="490"/>
      <c r="E168" s="483"/>
      <c r="F168" s="483"/>
      <c r="G168" s="172">
        <f t="shared" ref="G168:G187" si="7">IF(I168&gt;0,I168,0)</f>
        <v>200000000</v>
      </c>
      <c r="H168" s="483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87"/>
      <c r="B169" s="488"/>
      <c r="C169" s="490"/>
      <c r="D169" s="490"/>
      <c r="E169" s="483"/>
      <c r="F169" s="483"/>
      <c r="G169" s="172">
        <f t="shared" si="7"/>
        <v>500000000</v>
      </c>
      <c r="H169" s="483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87"/>
      <c r="B170" s="488"/>
      <c r="C170" s="490"/>
      <c r="D170" s="490"/>
      <c r="E170" s="483"/>
      <c r="F170" s="483"/>
      <c r="G170" s="172">
        <f t="shared" si="7"/>
        <v>0</v>
      </c>
      <c r="H170" s="483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87"/>
      <c r="B171" s="488"/>
      <c r="C171" s="490"/>
      <c r="D171" s="490"/>
      <c r="E171" s="483"/>
      <c r="F171" s="483"/>
      <c r="G171" s="172">
        <f t="shared" si="7"/>
        <v>400000000</v>
      </c>
      <c r="H171" s="483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87"/>
      <c r="B172" s="488"/>
      <c r="C172" s="490"/>
      <c r="D172" s="490"/>
      <c r="E172" s="483"/>
      <c r="F172" s="483"/>
      <c r="G172" s="172">
        <f t="shared" si="7"/>
        <v>0</v>
      </c>
      <c r="H172" s="483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87"/>
      <c r="B173" s="488"/>
      <c r="C173" s="490"/>
      <c r="D173" s="490"/>
      <c r="E173" s="483"/>
      <c r="F173" s="483"/>
      <c r="G173" s="172">
        <f t="shared" si="7"/>
        <v>150000000</v>
      </c>
      <c r="H173" s="483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87"/>
      <c r="B174" s="488"/>
      <c r="C174" s="490"/>
      <c r="D174" s="490"/>
      <c r="E174" s="483"/>
      <c r="F174" s="483"/>
      <c r="G174" s="172">
        <f t="shared" si="7"/>
        <v>400000000</v>
      </c>
      <c r="H174" s="483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87"/>
      <c r="B175" s="488"/>
      <c r="C175" s="490"/>
      <c r="D175" s="490"/>
      <c r="E175" s="483"/>
      <c r="F175" s="483"/>
      <c r="G175" s="172">
        <f t="shared" si="7"/>
        <v>0</v>
      </c>
      <c r="H175" s="483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87"/>
      <c r="B176" s="488"/>
      <c r="C176" s="490"/>
      <c r="D176" s="490"/>
      <c r="E176" s="483"/>
      <c r="F176" s="483"/>
      <c r="G176" s="172">
        <f t="shared" si="7"/>
        <v>300000000</v>
      </c>
      <c r="H176" s="483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87"/>
      <c r="B177" s="488"/>
      <c r="C177" s="490"/>
      <c r="D177" s="490"/>
      <c r="E177" s="483"/>
      <c r="F177" s="483"/>
      <c r="G177" s="172">
        <f t="shared" si="7"/>
        <v>0</v>
      </c>
      <c r="H177" s="483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87"/>
      <c r="B178" s="488"/>
      <c r="C178" s="490"/>
      <c r="D178" s="490"/>
      <c r="E178" s="483"/>
      <c r="F178" s="483"/>
      <c r="G178" s="172">
        <f t="shared" si="7"/>
        <v>50000000</v>
      </c>
      <c r="H178" s="483"/>
      <c r="I178" s="172">
        <v>50000000</v>
      </c>
      <c r="J178" s="300">
        <v>42459</v>
      </c>
      <c r="K178" s="435" t="s">
        <v>372</v>
      </c>
    </row>
    <row r="179" spans="1:12" ht="16.5" customHeight="1">
      <c r="A179" s="487"/>
      <c r="B179" s="488"/>
      <c r="C179" s="490"/>
      <c r="D179" s="490"/>
      <c r="E179" s="483"/>
      <c r="F179" s="483"/>
      <c r="G179" s="172"/>
      <c r="H179" s="483"/>
      <c r="I179" s="172">
        <v>20000000</v>
      </c>
      <c r="J179" s="437">
        <v>42464</v>
      </c>
      <c r="K179" s="438" t="s">
        <v>386</v>
      </c>
    </row>
    <row r="180" spans="1:12" ht="16.5" customHeight="1">
      <c r="A180" s="487"/>
      <c r="B180" s="488"/>
      <c r="C180" s="490"/>
      <c r="D180" s="490"/>
      <c r="E180" s="483"/>
      <c r="F180" s="483"/>
      <c r="G180" s="172"/>
      <c r="H180" s="483"/>
      <c r="I180" s="172">
        <v>19481000</v>
      </c>
      <c r="J180" s="451">
        <v>42466</v>
      </c>
      <c r="K180" s="452" t="s">
        <v>386</v>
      </c>
    </row>
    <row r="181" spans="1:12" ht="16.5" customHeight="1">
      <c r="A181" s="487"/>
      <c r="B181" s="488"/>
      <c r="C181" s="490"/>
      <c r="D181" s="490"/>
      <c r="E181" s="483"/>
      <c r="F181" s="483"/>
      <c r="G181" s="172"/>
      <c r="H181" s="483"/>
      <c r="I181" s="172">
        <v>20000000</v>
      </c>
      <c r="J181" s="451">
        <v>42468</v>
      </c>
      <c r="K181" s="452" t="s">
        <v>386</v>
      </c>
    </row>
    <row r="182" spans="1:12" ht="16.5" customHeight="1">
      <c r="A182" s="487"/>
      <c r="B182" s="488"/>
      <c r="C182" s="490"/>
      <c r="D182" s="490"/>
      <c r="E182" s="483"/>
      <c r="F182" s="483"/>
      <c r="G182" s="172">
        <f t="shared" si="7"/>
        <v>60000000</v>
      </c>
      <c r="H182" s="483"/>
      <c r="I182" s="172">
        <v>60000000</v>
      </c>
      <c r="J182" s="451">
        <v>42486</v>
      </c>
      <c r="K182" s="452" t="s">
        <v>372</v>
      </c>
    </row>
    <row r="183" spans="1:12" ht="16.5" customHeight="1">
      <c r="A183" s="487"/>
      <c r="B183" s="488"/>
      <c r="C183" s="490"/>
      <c r="D183" s="490"/>
      <c r="E183" s="483"/>
      <c r="F183" s="483"/>
      <c r="G183" s="172"/>
      <c r="H183" s="483"/>
      <c r="I183" s="172">
        <v>20000000</v>
      </c>
      <c r="J183" s="437">
        <v>42496</v>
      </c>
      <c r="K183" s="452" t="s">
        <v>386</v>
      </c>
    </row>
    <row r="184" spans="1:12" ht="16.5" customHeight="1">
      <c r="A184" s="487"/>
      <c r="B184" s="488"/>
      <c r="C184" s="490"/>
      <c r="D184" s="490"/>
      <c r="E184" s="483"/>
      <c r="F184" s="483"/>
      <c r="G184" s="172"/>
      <c r="H184" s="483"/>
      <c r="I184" s="172">
        <v>10000000</v>
      </c>
      <c r="J184" s="451">
        <v>42551</v>
      </c>
      <c r="K184" s="453" t="s">
        <v>386</v>
      </c>
    </row>
    <row r="185" spans="1:12" ht="16.5" customHeight="1">
      <c r="A185" s="487"/>
      <c r="B185" s="488"/>
      <c r="C185" s="490"/>
      <c r="D185" s="490"/>
      <c r="E185" s="483"/>
      <c r="F185" s="483"/>
      <c r="G185" s="172"/>
      <c r="H185" s="483"/>
      <c r="I185" s="172">
        <v>20000000</v>
      </c>
      <c r="J185" s="451">
        <v>42555</v>
      </c>
      <c r="K185" s="454" t="s">
        <v>386</v>
      </c>
    </row>
    <row r="186" spans="1:12" ht="16.5" customHeight="1">
      <c r="A186" s="487"/>
      <c r="B186" s="488"/>
      <c r="C186" s="490"/>
      <c r="D186" s="490"/>
      <c r="E186" s="483"/>
      <c r="F186" s="483"/>
      <c r="G186" s="172"/>
      <c r="H186" s="483"/>
      <c r="I186" s="172"/>
      <c r="J186" s="451"/>
      <c r="K186" s="452"/>
    </row>
    <row r="187" spans="1:12" ht="16.5" customHeight="1">
      <c r="A187" s="487"/>
      <c r="B187" s="488"/>
      <c r="C187" s="509"/>
      <c r="D187" s="509"/>
      <c r="E187" s="539"/>
      <c r="F187" s="539"/>
      <c r="G187" s="172">
        <f t="shared" si="7"/>
        <v>0</v>
      </c>
      <c r="H187" s="539"/>
      <c r="I187" s="172"/>
      <c r="J187" s="297"/>
      <c r="K187" s="298"/>
    </row>
    <row r="188" spans="1:12" s="161" customFormat="1" ht="18" customHeight="1">
      <c r="A188" s="487"/>
      <c r="B188" s="488"/>
      <c r="C188" s="493" t="s">
        <v>94</v>
      </c>
      <c r="D188" s="494"/>
      <c r="E188" s="158">
        <v>2205000000</v>
      </c>
      <c r="F188" s="158">
        <f>SUM(F167:F187)</f>
        <v>3652000000</v>
      </c>
      <c r="G188" s="158">
        <f>SUM(G167:G187)</f>
        <v>2160000000</v>
      </c>
      <c r="H188" s="158">
        <f>SUM(H167:H187)</f>
        <v>2552000000</v>
      </c>
      <c r="I188" s="158">
        <f>SUM(I167:I187)</f>
        <v>1319481000</v>
      </c>
      <c r="J188" s="159"/>
      <c r="K188" s="160" t="s">
        <v>42</v>
      </c>
      <c r="L188" s="302"/>
    </row>
    <row r="189" spans="1:12" s="161" customFormat="1" ht="18" customHeight="1">
      <c r="A189" s="487"/>
      <c r="B189" s="488"/>
      <c r="C189" s="493" t="s">
        <v>379</v>
      </c>
      <c r="D189" s="494"/>
      <c r="E189" s="162"/>
      <c r="F189" s="162"/>
      <c r="G189" s="163">
        <f>E188-G188</f>
        <v>45000000</v>
      </c>
      <c r="H189" s="162"/>
      <c r="I189" s="163">
        <f>H188-I188</f>
        <v>1232519000</v>
      </c>
      <c r="J189" s="159"/>
      <c r="K189" s="160"/>
      <c r="L189" s="302"/>
    </row>
    <row r="190" spans="1:12" ht="17.25" customHeight="1">
      <c r="A190" s="487">
        <v>23</v>
      </c>
      <c r="B190" s="487" t="s">
        <v>151</v>
      </c>
      <c r="C190" s="500"/>
      <c r="D190" s="502">
        <v>42094</v>
      </c>
      <c r="E190" s="496">
        <f>650650000+49500000</f>
        <v>700150000</v>
      </c>
      <c r="F190" s="496">
        <f>650650000+49500000</f>
        <v>700150000</v>
      </c>
      <c r="G190" s="172">
        <f t="shared" ref="G190:G194" si="8">IF(I190&gt;0,I190,0)</f>
        <v>195195000</v>
      </c>
      <c r="H190" s="496">
        <f>485650000+49500000+15000000-5200000</f>
        <v>544950000</v>
      </c>
      <c r="I190" s="172">
        <v>195195000</v>
      </c>
      <c r="J190" s="176">
        <v>42103</v>
      </c>
      <c r="K190" s="174" t="s">
        <v>372</v>
      </c>
    </row>
    <row r="191" spans="1:12" ht="17.25" customHeight="1">
      <c r="A191" s="487"/>
      <c r="B191" s="487"/>
      <c r="C191" s="500"/>
      <c r="D191" s="502"/>
      <c r="E191" s="496"/>
      <c r="F191" s="496"/>
      <c r="G191" s="172">
        <f t="shared" si="8"/>
        <v>140000000</v>
      </c>
      <c r="H191" s="496"/>
      <c r="I191" s="172">
        <v>140000000</v>
      </c>
      <c r="J191" s="176">
        <v>42170</v>
      </c>
      <c r="K191" s="174" t="s">
        <v>372</v>
      </c>
    </row>
    <row r="192" spans="1:12" ht="17.25" customHeight="1">
      <c r="A192" s="487"/>
      <c r="B192" s="487"/>
      <c r="C192" s="500"/>
      <c r="D192" s="502"/>
      <c r="E192" s="496"/>
      <c r="F192" s="496"/>
      <c r="G192" s="172">
        <f t="shared" si="8"/>
        <v>50000000</v>
      </c>
      <c r="H192" s="496"/>
      <c r="I192" s="172">
        <v>50000000</v>
      </c>
      <c r="J192" s="377">
        <v>42319</v>
      </c>
      <c r="K192" s="378" t="s">
        <v>372</v>
      </c>
    </row>
    <row r="193" spans="1:12" ht="17.25" customHeight="1">
      <c r="A193" s="487"/>
      <c r="B193" s="487"/>
      <c r="C193" s="500"/>
      <c r="D193" s="502"/>
      <c r="E193" s="496"/>
      <c r="F193" s="496"/>
      <c r="G193" s="172">
        <f t="shared" si="8"/>
        <v>314955000</v>
      </c>
      <c r="H193" s="496"/>
      <c r="I193" s="172">
        <v>314955000</v>
      </c>
      <c r="J193" s="377">
        <v>42375</v>
      </c>
      <c r="K193" s="418" t="s">
        <v>372</v>
      </c>
    </row>
    <row r="194" spans="1:12" ht="16.5" customHeight="1">
      <c r="A194" s="487"/>
      <c r="B194" s="487"/>
      <c r="C194" s="500"/>
      <c r="D194" s="502"/>
      <c r="E194" s="496"/>
      <c r="F194" s="496"/>
      <c r="G194" s="172">
        <f t="shared" si="8"/>
        <v>0</v>
      </c>
      <c r="H194" s="496"/>
      <c r="I194" s="151">
        <v>-155200000</v>
      </c>
      <c r="J194" s="176">
        <v>42380</v>
      </c>
      <c r="K194" s="421" t="s">
        <v>372</v>
      </c>
    </row>
    <row r="195" spans="1:12" s="161" customFormat="1" ht="18" customHeight="1">
      <c r="A195" s="487"/>
      <c r="B195" s="487"/>
      <c r="C195" s="493" t="s">
        <v>94</v>
      </c>
      <c r="D195" s="494"/>
      <c r="E195" s="158">
        <f>SUM(E190:E194)</f>
        <v>700150000</v>
      </c>
      <c r="F195" s="158">
        <f>SUM(F190:F194)</f>
        <v>700150000</v>
      </c>
      <c r="G195" s="158">
        <f>SUM(G190:G194)</f>
        <v>700150000</v>
      </c>
      <c r="H195" s="158">
        <f>SUM(H190:H194)</f>
        <v>544950000</v>
      </c>
      <c r="I195" s="158">
        <f>SUM(I190:I194)</f>
        <v>544950000</v>
      </c>
      <c r="J195" s="159"/>
      <c r="K195" s="160" t="s">
        <v>42</v>
      </c>
      <c r="L195" s="302"/>
    </row>
    <row r="196" spans="1:12" s="161" customFormat="1" ht="18" customHeight="1">
      <c r="A196" s="487"/>
      <c r="B196" s="487"/>
      <c r="C196" s="493" t="s">
        <v>379</v>
      </c>
      <c r="D196" s="494"/>
      <c r="E196" s="162"/>
      <c r="F196" s="162"/>
      <c r="G196" s="163">
        <f>E195-G195</f>
        <v>0</v>
      </c>
      <c r="H196" s="162"/>
      <c r="I196" s="163">
        <f>H195-I195</f>
        <v>0</v>
      </c>
      <c r="J196" s="159"/>
      <c r="K196" s="160"/>
      <c r="L196" s="302"/>
    </row>
    <row r="197" spans="1:12" ht="16.5" customHeight="1">
      <c r="A197" s="487">
        <v>24</v>
      </c>
      <c r="B197" s="487" t="s">
        <v>152</v>
      </c>
      <c r="C197" s="500" t="s">
        <v>397</v>
      </c>
      <c r="D197" s="502">
        <v>41618</v>
      </c>
      <c r="E197" s="496">
        <v>394100000</v>
      </c>
      <c r="F197" s="496">
        <v>394100000</v>
      </c>
      <c r="G197" s="172">
        <f t="shared" ref="G197:G200" si="9">IF(I197&gt;0,I197,0)</f>
        <v>100000000</v>
      </c>
      <c r="H197" s="496">
        <v>298500000</v>
      </c>
      <c r="I197" s="172">
        <v>100000000</v>
      </c>
      <c r="J197" s="176">
        <v>42116</v>
      </c>
      <c r="K197" s="174" t="s">
        <v>372</v>
      </c>
    </row>
    <row r="198" spans="1:12" ht="16.5" customHeight="1">
      <c r="A198" s="487"/>
      <c r="B198" s="487"/>
      <c r="C198" s="500"/>
      <c r="D198" s="502"/>
      <c r="E198" s="496"/>
      <c r="F198" s="496"/>
      <c r="G198" s="172">
        <f t="shared" si="9"/>
        <v>200000000</v>
      </c>
      <c r="H198" s="496"/>
      <c r="I198" s="172">
        <v>200000000</v>
      </c>
      <c r="J198" s="420">
        <v>42381</v>
      </c>
      <c r="K198" s="422" t="s">
        <v>372</v>
      </c>
    </row>
    <row r="199" spans="1:12" ht="16.5" customHeight="1">
      <c r="A199" s="487"/>
      <c r="B199" s="487"/>
      <c r="C199" s="500"/>
      <c r="D199" s="502"/>
      <c r="E199" s="496"/>
      <c r="F199" s="496"/>
      <c r="G199" s="172">
        <f t="shared" si="9"/>
        <v>0</v>
      </c>
      <c r="H199" s="496"/>
      <c r="I199" s="172">
        <v>-100000000</v>
      </c>
      <c r="J199" s="420">
        <v>42382</v>
      </c>
      <c r="K199" s="195" t="s">
        <v>390</v>
      </c>
    </row>
    <row r="200" spans="1:12" ht="16.5" customHeight="1">
      <c r="A200" s="487"/>
      <c r="B200" s="487"/>
      <c r="C200" s="500"/>
      <c r="D200" s="502"/>
      <c r="E200" s="496"/>
      <c r="F200" s="496"/>
      <c r="G200" s="172">
        <f t="shared" si="9"/>
        <v>0</v>
      </c>
      <c r="H200" s="496"/>
      <c r="I200" s="151"/>
      <c r="J200" s="176"/>
      <c r="K200" s="188"/>
    </row>
    <row r="201" spans="1:12" s="161" customFormat="1" ht="18" customHeight="1">
      <c r="A201" s="487"/>
      <c r="B201" s="487"/>
      <c r="C201" s="493" t="s">
        <v>94</v>
      </c>
      <c r="D201" s="494"/>
      <c r="E201" s="158">
        <f>SUM(E197:E200)</f>
        <v>394100000</v>
      </c>
      <c r="F201" s="158">
        <f>SUM(F197:F200)</f>
        <v>394100000</v>
      </c>
      <c r="G201" s="158">
        <f>SUM(G197:G200)</f>
        <v>300000000</v>
      </c>
      <c r="H201" s="158">
        <f>SUM(H197:H200)</f>
        <v>298500000</v>
      </c>
      <c r="I201" s="158">
        <f>SUM(I197:I200)</f>
        <v>200000000</v>
      </c>
      <c r="J201" s="159"/>
      <c r="K201" s="160" t="s">
        <v>42</v>
      </c>
      <c r="L201" s="302"/>
    </row>
    <row r="202" spans="1:12" s="161" customFormat="1" ht="18" customHeight="1">
      <c r="A202" s="487"/>
      <c r="B202" s="487"/>
      <c r="C202" s="493" t="s">
        <v>379</v>
      </c>
      <c r="D202" s="494"/>
      <c r="E202" s="162"/>
      <c r="F202" s="162"/>
      <c r="G202" s="163">
        <f>E201-G201</f>
        <v>94100000</v>
      </c>
      <c r="H202" s="162"/>
      <c r="I202" s="163">
        <f>H201-I201</f>
        <v>98500000</v>
      </c>
      <c r="J202" s="159"/>
      <c r="K202" s="160"/>
      <c r="L202" s="302"/>
    </row>
    <row r="203" spans="1:12" ht="16.5" customHeight="1">
      <c r="A203" s="487">
        <v>25</v>
      </c>
      <c r="B203" s="487" t="s">
        <v>172</v>
      </c>
      <c r="C203" s="500" t="s">
        <v>398</v>
      </c>
      <c r="D203" s="502"/>
      <c r="E203" s="496">
        <v>890000000</v>
      </c>
      <c r="F203" s="496">
        <v>898744036</v>
      </c>
      <c r="G203" s="172">
        <f t="shared" ref="G203:G213" si="10">IF(I203&gt;0,I203,0)</f>
        <v>150000000</v>
      </c>
      <c r="H203" s="496">
        <f>663683801</f>
        <v>663683801</v>
      </c>
      <c r="I203" s="172">
        <v>150000000</v>
      </c>
      <c r="J203" s="176">
        <v>42132</v>
      </c>
      <c r="K203" s="174" t="s">
        <v>372</v>
      </c>
    </row>
    <row r="204" spans="1:12" ht="16.5" customHeight="1">
      <c r="A204" s="487"/>
      <c r="B204" s="487"/>
      <c r="C204" s="500"/>
      <c r="D204" s="502"/>
      <c r="E204" s="496"/>
      <c r="F204" s="496"/>
      <c r="G204" s="172">
        <f t="shared" si="10"/>
        <v>150000000</v>
      </c>
      <c r="H204" s="496"/>
      <c r="I204" s="172">
        <v>150000000</v>
      </c>
      <c r="J204" s="176">
        <v>42144</v>
      </c>
      <c r="K204" s="174" t="s">
        <v>372</v>
      </c>
    </row>
    <row r="205" spans="1:12" ht="16.5" customHeight="1">
      <c r="A205" s="487"/>
      <c r="B205" s="487"/>
      <c r="C205" s="500"/>
      <c r="D205" s="502"/>
      <c r="E205" s="496"/>
      <c r="F205" s="496"/>
      <c r="G205" s="172">
        <f t="shared" si="10"/>
        <v>50000000</v>
      </c>
      <c r="H205" s="496"/>
      <c r="I205" s="172">
        <v>50000000</v>
      </c>
      <c r="J205" s="176">
        <v>42157</v>
      </c>
      <c r="K205" s="174" t="s">
        <v>372</v>
      </c>
    </row>
    <row r="206" spans="1:12" ht="16.5" customHeight="1">
      <c r="A206" s="487"/>
      <c r="B206" s="487"/>
      <c r="C206" s="500"/>
      <c r="D206" s="502"/>
      <c r="E206" s="496"/>
      <c r="F206" s="496"/>
      <c r="G206" s="172">
        <f t="shared" si="10"/>
        <v>200000000</v>
      </c>
      <c r="H206" s="496"/>
      <c r="I206" s="172">
        <v>200000000</v>
      </c>
      <c r="J206" s="176">
        <v>42167</v>
      </c>
      <c r="K206" s="174" t="s">
        <v>372</v>
      </c>
    </row>
    <row r="207" spans="1:12" ht="16.5" customHeight="1">
      <c r="A207" s="487"/>
      <c r="B207" s="487"/>
      <c r="C207" s="500"/>
      <c r="D207" s="502"/>
      <c r="E207" s="496"/>
      <c r="F207" s="496"/>
      <c r="G207" s="172">
        <f t="shared" si="10"/>
        <v>100000000</v>
      </c>
      <c r="H207" s="496"/>
      <c r="I207" s="172">
        <v>100000000</v>
      </c>
      <c r="J207" s="176">
        <v>42198</v>
      </c>
      <c r="K207" s="174" t="s">
        <v>372</v>
      </c>
    </row>
    <row r="208" spans="1:12" ht="16.5" customHeight="1">
      <c r="A208" s="487"/>
      <c r="B208" s="487"/>
      <c r="C208" s="500" t="s">
        <v>413</v>
      </c>
      <c r="D208" s="502"/>
      <c r="E208" s="496"/>
      <c r="F208" s="496">
        <v>627830692</v>
      </c>
      <c r="G208" s="172">
        <f t="shared" si="10"/>
        <v>400000000</v>
      </c>
      <c r="H208" s="496">
        <v>304043967</v>
      </c>
      <c r="I208" s="172">
        <v>400000000</v>
      </c>
      <c r="J208" s="176">
        <v>42219</v>
      </c>
      <c r="K208" s="174" t="s">
        <v>372</v>
      </c>
    </row>
    <row r="209" spans="1:12" ht="16.5" customHeight="1">
      <c r="A209" s="487"/>
      <c r="B209" s="487"/>
      <c r="C209" s="500"/>
      <c r="D209" s="502"/>
      <c r="E209" s="496"/>
      <c r="F209" s="496"/>
      <c r="G209" s="172">
        <f t="shared" si="10"/>
        <v>0</v>
      </c>
      <c r="H209" s="496"/>
      <c r="I209" s="193">
        <v>-200000000</v>
      </c>
      <c r="J209" s="194">
        <v>42220</v>
      </c>
      <c r="K209" s="195" t="s">
        <v>390</v>
      </c>
    </row>
    <row r="210" spans="1:12" ht="16.5" customHeight="1">
      <c r="A210" s="487"/>
      <c r="B210" s="487"/>
      <c r="C210" s="500"/>
      <c r="D210" s="502"/>
      <c r="E210" s="496"/>
      <c r="F210" s="496"/>
      <c r="G210" s="172">
        <f t="shared" si="10"/>
        <v>200000000</v>
      </c>
      <c r="H210" s="496"/>
      <c r="I210" s="172">
        <v>200000000</v>
      </c>
      <c r="J210" s="415">
        <v>42368</v>
      </c>
      <c r="K210" s="416" t="s">
        <v>372</v>
      </c>
    </row>
    <row r="211" spans="1:12" ht="16.5" customHeight="1">
      <c r="A211" s="487"/>
      <c r="B211" s="487"/>
      <c r="C211" s="500"/>
      <c r="D211" s="502"/>
      <c r="E211" s="496"/>
      <c r="F211" s="496"/>
      <c r="G211" s="172">
        <f t="shared" si="10"/>
        <v>0</v>
      </c>
      <c r="H211" s="496"/>
      <c r="I211" s="193">
        <v>-100000000</v>
      </c>
      <c r="J211" s="194">
        <v>42368</v>
      </c>
      <c r="K211" s="195" t="s">
        <v>390</v>
      </c>
    </row>
    <row r="212" spans="1:12" ht="16.5" customHeight="1">
      <c r="A212" s="487"/>
      <c r="B212" s="487"/>
      <c r="C212" s="500"/>
      <c r="D212" s="502"/>
      <c r="E212" s="496"/>
      <c r="F212" s="496"/>
      <c r="G212" s="172">
        <f t="shared" si="10"/>
        <v>0</v>
      </c>
      <c r="H212" s="496"/>
      <c r="I212" s="172"/>
      <c r="J212" s="415"/>
      <c r="K212" s="419"/>
    </row>
    <row r="213" spans="1:12" ht="16.5" customHeight="1">
      <c r="A213" s="487"/>
      <c r="B213" s="487"/>
      <c r="C213" s="500"/>
      <c r="D213" s="502"/>
      <c r="E213" s="496"/>
      <c r="F213" s="496"/>
      <c r="G213" s="172">
        <f t="shared" si="10"/>
        <v>0</v>
      </c>
      <c r="H213" s="496"/>
      <c r="I213" s="172"/>
      <c r="J213" s="415"/>
      <c r="K213" s="416"/>
    </row>
    <row r="214" spans="1:12" s="161" customFormat="1" ht="18" customHeight="1">
      <c r="A214" s="487"/>
      <c r="B214" s="487"/>
      <c r="C214" s="493" t="s">
        <v>94</v>
      </c>
      <c r="D214" s="494"/>
      <c r="E214" s="158">
        <f>SUM(E203:E213)</f>
        <v>890000000</v>
      </c>
      <c r="F214" s="158">
        <f>SUM(F203:F213)</f>
        <v>1526574728</v>
      </c>
      <c r="G214" s="158">
        <f>SUM(G203:G213)</f>
        <v>1250000000</v>
      </c>
      <c r="H214" s="158">
        <f>SUM(H203:H213)</f>
        <v>967727768</v>
      </c>
      <c r="I214" s="158">
        <f>SUM(I203:I213)</f>
        <v>950000000</v>
      </c>
      <c r="J214" s="159"/>
      <c r="K214" s="160" t="s">
        <v>42</v>
      </c>
      <c r="L214" s="302"/>
    </row>
    <row r="215" spans="1:12" s="161" customFormat="1" ht="18" customHeight="1">
      <c r="A215" s="487"/>
      <c r="B215" s="487"/>
      <c r="C215" s="493" t="s">
        <v>379</v>
      </c>
      <c r="D215" s="494"/>
      <c r="E215" s="162"/>
      <c r="F215" s="162"/>
      <c r="G215" s="163">
        <f>E214-G214</f>
        <v>-360000000</v>
      </c>
      <c r="H215" s="162"/>
      <c r="I215" s="163">
        <f>H214-I214</f>
        <v>17727768</v>
      </c>
      <c r="J215" s="159"/>
      <c r="K215" s="160"/>
      <c r="L215" s="302"/>
    </row>
    <row r="216" spans="1:12" ht="16.5" customHeight="1">
      <c r="A216" s="487">
        <v>26</v>
      </c>
      <c r="B216" s="488" t="s">
        <v>190</v>
      </c>
      <c r="C216" s="503" t="s">
        <v>401</v>
      </c>
      <c r="D216" s="505">
        <v>42125</v>
      </c>
      <c r="E216" s="179">
        <v>99315638</v>
      </c>
      <c r="F216" s="507">
        <v>893000000</v>
      </c>
      <c r="G216" s="172">
        <f t="shared" ref="G216" si="11">IF(I216&gt;0,I216,0)</f>
        <v>200000000</v>
      </c>
      <c r="H216" s="179">
        <v>99315000</v>
      </c>
      <c r="I216" s="179">
        <v>200000000</v>
      </c>
      <c r="J216" s="189">
        <v>42144</v>
      </c>
      <c r="K216" s="190" t="s">
        <v>372</v>
      </c>
    </row>
    <row r="217" spans="1:12" ht="16.5" customHeight="1">
      <c r="A217" s="487"/>
      <c r="B217" s="488"/>
      <c r="C217" s="490"/>
      <c r="D217" s="492"/>
      <c r="E217" s="172">
        <v>525544049</v>
      </c>
      <c r="F217" s="483"/>
      <c r="G217" s="172">
        <f t="shared" ref="G217:G225" si="12">IF(I217&gt;0,I217,0)</f>
        <v>250000000</v>
      </c>
      <c r="H217" s="172">
        <v>278359000</v>
      </c>
      <c r="I217" s="172">
        <v>250000000</v>
      </c>
      <c r="J217" s="176">
        <v>42188</v>
      </c>
      <c r="K217" s="178" t="s">
        <v>372</v>
      </c>
    </row>
    <row r="218" spans="1:12" ht="16.5" customHeight="1">
      <c r="A218" s="487"/>
      <c r="B218" s="488"/>
      <c r="C218" s="490"/>
      <c r="D218" s="492"/>
      <c r="F218" s="483"/>
      <c r="G218" s="172">
        <f t="shared" si="12"/>
        <v>300000000</v>
      </c>
      <c r="H218" s="172">
        <v>247185000</v>
      </c>
      <c r="I218" s="181">
        <v>300000000</v>
      </c>
      <c r="J218" s="176">
        <v>42219</v>
      </c>
      <c r="K218" s="178" t="s">
        <v>372</v>
      </c>
    </row>
    <row r="219" spans="1:12" ht="16.5" customHeight="1">
      <c r="A219" s="487"/>
      <c r="B219" s="488"/>
      <c r="C219" s="490"/>
      <c r="D219" s="492"/>
      <c r="E219" s="172">
        <v>60382018</v>
      </c>
      <c r="F219" s="483"/>
      <c r="G219" s="172">
        <f t="shared" si="12"/>
        <v>0</v>
      </c>
      <c r="H219" s="172">
        <v>61180000</v>
      </c>
      <c r="I219" s="181">
        <v>-100000000</v>
      </c>
      <c r="J219" s="176">
        <v>42220</v>
      </c>
      <c r="K219" s="187" t="s">
        <v>390</v>
      </c>
    </row>
    <row r="220" spans="1:12" ht="16.5" customHeight="1">
      <c r="A220" s="487"/>
      <c r="B220" s="488"/>
      <c r="C220" s="490"/>
      <c r="D220" s="492"/>
      <c r="E220" s="172">
        <v>295513229</v>
      </c>
      <c r="F220" s="483"/>
      <c r="G220" s="172">
        <f t="shared" si="12"/>
        <v>150000000</v>
      </c>
      <c r="H220" s="172">
        <v>303311000</v>
      </c>
      <c r="I220" s="225">
        <v>150000000</v>
      </c>
      <c r="J220" s="229">
        <v>42251</v>
      </c>
      <c r="K220" s="242" t="s">
        <v>372</v>
      </c>
    </row>
    <row r="221" spans="1:12" ht="16.5" customHeight="1">
      <c r="A221" s="487"/>
      <c r="B221" s="488"/>
      <c r="C221" s="490"/>
      <c r="D221" s="492"/>
      <c r="E221" s="172">
        <v>81027109</v>
      </c>
      <c r="F221" s="483"/>
      <c r="G221" s="172">
        <f t="shared" si="12"/>
        <v>150000000</v>
      </c>
      <c r="H221" s="172">
        <v>82240000</v>
      </c>
      <c r="I221" s="294">
        <v>150000000</v>
      </c>
      <c r="J221" s="295">
        <v>42279</v>
      </c>
      <c r="K221" s="292" t="s">
        <v>372</v>
      </c>
    </row>
    <row r="222" spans="1:12" ht="16.5" customHeight="1">
      <c r="A222" s="487"/>
      <c r="B222" s="488"/>
      <c r="C222" s="490"/>
      <c r="D222" s="492"/>
      <c r="E222" s="172">
        <v>11344513</v>
      </c>
      <c r="F222" s="483"/>
      <c r="G222" s="379">
        <v>123128513</v>
      </c>
      <c r="H222" s="386">
        <v>19689000</v>
      </c>
      <c r="I222" s="382">
        <v>123128513</v>
      </c>
      <c r="J222" s="381">
        <v>42366</v>
      </c>
      <c r="K222" s="383" t="s">
        <v>372</v>
      </c>
    </row>
    <row r="223" spans="1:12" ht="16.5" customHeight="1">
      <c r="A223" s="487"/>
      <c r="B223" s="488"/>
      <c r="C223" s="490"/>
      <c r="D223" s="492"/>
      <c r="E223" s="197">
        <v>100001957</v>
      </c>
      <c r="F223" s="483"/>
      <c r="G223" s="425">
        <v>37981566</v>
      </c>
      <c r="H223" s="386">
        <v>8483500</v>
      </c>
      <c r="I223" s="379">
        <v>37978500</v>
      </c>
      <c r="J223" s="381">
        <v>42403</v>
      </c>
      <c r="K223" s="428" t="s">
        <v>372</v>
      </c>
    </row>
    <row r="224" spans="1:12" ht="16.5" customHeight="1">
      <c r="A224" s="487"/>
      <c r="B224" s="488"/>
      <c r="C224" s="490"/>
      <c r="D224" s="492"/>
      <c r="E224" s="172">
        <v>37981566</v>
      </c>
      <c r="F224" s="483"/>
      <c r="G224" s="172"/>
      <c r="H224" s="386">
        <v>11344513</v>
      </c>
      <c r="I224" s="379">
        <v>9028694</v>
      </c>
      <c r="J224" s="427">
        <v>42403</v>
      </c>
      <c r="K224" s="380" t="s">
        <v>1202</v>
      </c>
    </row>
    <row r="225" spans="1:12" ht="16.5" customHeight="1">
      <c r="A225" s="487"/>
      <c r="B225" s="488"/>
      <c r="C225" s="504"/>
      <c r="D225" s="506"/>
      <c r="E225" s="385"/>
      <c r="F225" s="508"/>
      <c r="G225" s="172">
        <f t="shared" si="12"/>
        <v>0</v>
      </c>
      <c r="H225" s="425">
        <v>9028694</v>
      </c>
      <c r="I225" s="182"/>
      <c r="J225" s="191"/>
      <c r="K225" s="192"/>
    </row>
    <row r="226" spans="1:12" s="161" customFormat="1" ht="18" customHeight="1">
      <c r="A226" s="487"/>
      <c r="B226" s="488"/>
      <c r="C226" s="493" t="s">
        <v>94</v>
      </c>
      <c r="D226" s="494"/>
      <c r="E226" s="158">
        <f>SUM(E216:E225)</f>
        <v>1211110079</v>
      </c>
      <c r="F226" s="158">
        <f>SUM(F216:F225)</f>
        <v>893000000</v>
      </c>
      <c r="G226" s="158">
        <f t="shared" ref="G226:I226" si="13">SUM(G216:G225)</f>
        <v>1211110079</v>
      </c>
      <c r="H226" s="158">
        <f>SUM(H216:H225)</f>
        <v>1120135707</v>
      </c>
      <c r="I226" s="158">
        <f t="shared" si="13"/>
        <v>1120135707</v>
      </c>
      <c r="J226" s="160"/>
      <c r="K226" s="160" t="s">
        <v>42</v>
      </c>
      <c r="L226" s="302"/>
    </row>
    <row r="227" spans="1:12" s="161" customFormat="1" ht="18" customHeight="1">
      <c r="A227" s="487"/>
      <c r="B227" s="488"/>
      <c r="C227" s="493" t="s">
        <v>379</v>
      </c>
      <c r="D227" s="494"/>
      <c r="E227" s="162"/>
      <c r="F227" s="162"/>
      <c r="G227" s="163">
        <f>E226-G226</f>
        <v>0</v>
      </c>
      <c r="H227" s="162"/>
      <c r="I227" s="163">
        <f>H226-I226</f>
        <v>0</v>
      </c>
      <c r="J227" s="162"/>
      <c r="K227" s="387"/>
      <c r="L227" s="302"/>
    </row>
    <row r="228" spans="1:12" ht="16.5" customHeight="1">
      <c r="A228" s="487">
        <v>27</v>
      </c>
      <c r="B228" s="488" t="s">
        <v>268</v>
      </c>
      <c r="C228" s="489" t="s">
        <v>402</v>
      </c>
      <c r="D228" s="491">
        <v>42125</v>
      </c>
      <c r="E228" s="482"/>
      <c r="F228" s="482">
        <v>1489950000</v>
      </c>
      <c r="G228" s="172">
        <f>IF(I228&gt;0,I228,0)</f>
        <v>200000000</v>
      </c>
      <c r="H228" s="482">
        <v>868450000</v>
      </c>
      <c r="I228" s="172">
        <v>200000000</v>
      </c>
      <c r="J228" s="176">
        <v>42150</v>
      </c>
      <c r="K228" s="174" t="s">
        <v>372</v>
      </c>
    </row>
    <row r="229" spans="1:12" ht="16.5" customHeight="1">
      <c r="A229" s="487"/>
      <c r="B229" s="488"/>
      <c r="C229" s="490"/>
      <c r="D229" s="490"/>
      <c r="E229" s="483"/>
      <c r="F229" s="483"/>
      <c r="G229" s="172">
        <f t="shared" ref="G229:G235" si="14">IF(I229&gt;0,I229,0)</f>
        <v>500000000</v>
      </c>
      <c r="H229" s="483"/>
      <c r="I229" s="172">
        <v>500000000</v>
      </c>
      <c r="J229" s="176">
        <v>42198</v>
      </c>
      <c r="K229" s="174" t="s">
        <v>372</v>
      </c>
    </row>
    <row r="230" spans="1:12" ht="16.5" customHeight="1">
      <c r="A230" s="487"/>
      <c r="B230" s="488"/>
      <c r="C230" s="490"/>
      <c r="D230" s="490"/>
      <c r="E230" s="483"/>
      <c r="F230" s="483"/>
      <c r="G230" s="172">
        <f t="shared" si="14"/>
        <v>0</v>
      </c>
      <c r="H230" s="483"/>
      <c r="I230" s="193">
        <v>-300000000</v>
      </c>
      <c r="J230" s="194">
        <v>42199</v>
      </c>
      <c r="K230" s="195" t="s">
        <v>390</v>
      </c>
    </row>
    <row r="231" spans="1:12" ht="16.5" customHeight="1">
      <c r="A231" s="487"/>
      <c r="B231" s="488"/>
      <c r="C231" s="490"/>
      <c r="D231" s="490"/>
      <c r="E231" s="483"/>
      <c r="F231" s="483"/>
      <c r="G231" s="172">
        <f t="shared" si="14"/>
        <v>500000000</v>
      </c>
      <c r="H231" s="483"/>
      <c r="I231" s="172">
        <v>500000000</v>
      </c>
      <c r="J231" s="233">
        <v>42241</v>
      </c>
      <c r="K231" s="232" t="s">
        <v>372</v>
      </c>
    </row>
    <row r="232" spans="1:12" ht="16.5" customHeight="1">
      <c r="A232" s="487"/>
      <c r="B232" s="488"/>
      <c r="C232" s="490"/>
      <c r="D232" s="490"/>
      <c r="E232" s="483"/>
      <c r="F232" s="483"/>
      <c r="G232" s="172">
        <f t="shared" si="14"/>
        <v>0</v>
      </c>
      <c r="H232" s="483"/>
      <c r="I232" s="193">
        <v>-300000000</v>
      </c>
      <c r="J232" s="194">
        <v>42242</v>
      </c>
      <c r="K232" s="195" t="s">
        <v>390</v>
      </c>
    </row>
    <row r="233" spans="1:12" ht="16.5" customHeight="1">
      <c r="A233" s="487"/>
      <c r="B233" s="488"/>
      <c r="C233" s="490"/>
      <c r="D233" s="490"/>
      <c r="E233" s="483"/>
      <c r="F233" s="483"/>
      <c r="G233" s="172">
        <f t="shared" si="14"/>
        <v>400000000</v>
      </c>
      <c r="H233" s="483"/>
      <c r="I233" s="172">
        <v>400000000</v>
      </c>
      <c r="J233" s="293">
        <v>42279</v>
      </c>
      <c r="K233" s="296" t="s">
        <v>372</v>
      </c>
    </row>
    <row r="234" spans="1:12" ht="16.5" customHeight="1">
      <c r="A234" s="487"/>
      <c r="B234" s="488"/>
      <c r="C234" s="490"/>
      <c r="D234" s="490"/>
      <c r="E234" s="483"/>
      <c r="F234" s="483"/>
      <c r="G234" s="172">
        <f t="shared" si="14"/>
        <v>0</v>
      </c>
      <c r="H234" s="483"/>
      <c r="I234" s="193">
        <v>-200000000</v>
      </c>
      <c r="J234" s="194">
        <v>42286</v>
      </c>
      <c r="K234" s="195" t="s">
        <v>390</v>
      </c>
    </row>
    <row r="235" spans="1:12" ht="16.5" customHeight="1">
      <c r="A235" s="487"/>
      <c r="B235" s="488"/>
      <c r="C235" s="490"/>
      <c r="D235" s="490"/>
      <c r="E235" s="483"/>
      <c r="F235" s="483"/>
      <c r="G235" s="172">
        <f t="shared" si="14"/>
        <v>0</v>
      </c>
      <c r="H235" s="483"/>
      <c r="I235" s="151"/>
      <c r="J235" s="176"/>
      <c r="K235" s="188"/>
    </row>
    <row r="236" spans="1:12" s="161" customFormat="1" ht="18" customHeight="1">
      <c r="A236" s="487"/>
      <c r="B236" s="488"/>
      <c r="C236" s="493" t="s">
        <v>94</v>
      </c>
      <c r="D236" s="494"/>
      <c r="E236" s="158">
        <f>SUM(E228:E235)</f>
        <v>0</v>
      </c>
      <c r="F236" s="158">
        <f>SUM(F228:F235)</f>
        <v>1489950000</v>
      </c>
      <c r="G236" s="158">
        <f>SUM(G228:G235)</f>
        <v>1600000000</v>
      </c>
      <c r="H236" s="158">
        <f>SUM(H228:H235)</f>
        <v>868450000</v>
      </c>
      <c r="I236" s="158">
        <f>SUM(I228:I235)</f>
        <v>800000000</v>
      </c>
      <c r="J236" s="159"/>
      <c r="K236" s="160" t="s">
        <v>42</v>
      </c>
      <c r="L236" s="302"/>
    </row>
    <row r="237" spans="1:12" s="161" customFormat="1" ht="18" customHeight="1">
      <c r="A237" s="487"/>
      <c r="B237" s="488"/>
      <c r="C237" s="493" t="s">
        <v>379</v>
      </c>
      <c r="D237" s="494"/>
      <c r="E237" s="162"/>
      <c r="F237" s="162"/>
      <c r="G237" s="163">
        <f>E236-G236</f>
        <v>-1600000000</v>
      </c>
      <c r="H237" s="162"/>
      <c r="I237" s="163">
        <f>H236-I236</f>
        <v>68450000</v>
      </c>
      <c r="J237" s="159"/>
      <c r="K237" s="160"/>
      <c r="L237" s="302"/>
    </row>
    <row r="238" spans="1:12" ht="16.5" customHeight="1">
      <c r="A238" s="487">
        <v>28</v>
      </c>
      <c r="B238" s="488" t="s">
        <v>406</v>
      </c>
      <c r="C238" s="489" t="s">
        <v>407</v>
      </c>
      <c r="D238" s="491">
        <v>42205</v>
      </c>
      <c r="E238" s="482"/>
      <c r="F238" s="482">
        <v>434232000</v>
      </c>
      <c r="G238" s="172">
        <f t="shared" ref="G238:G246" si="15">IF(I238&gt;0,I238,0)</f>
        <v>90000000</v>
      </c>
      <c r="H238" s="482">
        <f>F238</f>
        <v>434232000</v>
      </c>
      <c r="I238" s="151">
        <v>90000000</v>
      </c>
      <c r="J238" s="176">
        <v>42212</v>
      </c>
      <c r="K238" s="174" t="s">
        <v>372</v>
      </c>
    </row>
    <row r="239" spans="1:12" ht="16.5" customHeight="1">
      <c r="A239" s="487"/>
      <c r="B239" s="488"/>
      <c r="C239" s="490"/>
      <c r="D239" s="492"/>
      <c r="E239" s="483"/>
      <c r="F239" s="483"/>
      <c r="G239" s="172">
        <f t="shared" si="15"/>
        <v>50000000</v>
      </c>
      <c r="H239" s="483"/>
      <c r="I239" s="151">
        <v>50000000</v>
      </c>
      <c r="J239" s="214">
        <v>42229</v>
      </c>
      <c r="K239" s="215" t="s">
        <v>372</v>
      </c>
    </row>
    <row r="240" spans="1:12" ht="16.5" customHeight="1">
      <c r="A240" s="487"/>
      <c r="B240" s="488"/>
      <c r="C240" s="490"/>
      <c r="D240" s="492"/>
      <c r="E240" s="483"/>
      <c r="F240" s="483"/>
      <c r="G240" s="172">
        <f t="shared" si="15"/>
        <v>50000000</v>
      </c>
      <c r="H240" s="483"/>
      <c r="I240" s="151">
        <v>50000000</v>
      </c>
      <c r="J240" s="233">
        <v>42241</v>
      </c>
      <c r="K240" s="232" t="s">
        <v>372</v>
      </c>
    </row>
    <row r="241" spans="1:13" ht="16.5" customHeight="1">
      <c r="A241" s="487"/>
      <c r="B241" s="488"/>
      <c r="C241" s="490"/>
      <c r="D241" s="492"/>
      <c r="E241" s="483"/>
      <c r="F241" s="483"/>
      <c r="G241" s="172">
        <f t="shared" si="15"/>
        <v>50000000</v>
      </c>
      <c r="H241" s="483"/>
      <c r="I241" s="151">
        <v>50000000</v>
      </c>
      <c r="J241" s="281">
        <v>42251</v>
      </c>
      <c r="K241" s="280" t="s">
        <v>372</v>
      </c>
    </row>
    <row r="242" spans="1:13" ht="16.5" customHeight="1">
      <c r="A242" s="487"/>
      <c r="B242" s="488"/>
      <c r="C242" s="490"/>
      <c r="D242" s="492"/>
      <c r="E242" s="483"/>
      <c r="F242" s="483"/>
      <c r="G242" s="172">
        <f t="shared" si="15"/>
        <v>30000000</v>
      </c>
      <c r="H242" s="483"/>
      <c r="I242" s="151">
        <v>30000000</v>
      </c>
      <c r="J242" s="308">
        <v>42285</v>
      </c>
      <c r="K242" s="309" t="s">
        <v>372</v>
      </c>
    </row>
    <row r="243" spans="1:13" ht="16.5" customHeight="1">
      <c r="A243" s="487"/>
      <c r="B243" s="488"/>
      <c r="C243" s="490"/>
      <c r="D243" s="492"/>
      <c r="E243" s="483"/>
      <c r="F243" s="483"/>
      <c r="G243" s="172"/>
      <c r="H243" s="483"/>
      <c r="I243" s="151">
        <v>10000000</v>
      </c>
      <c r="J243" s="308">
        <v>42306</v>
      </c>
      <c r="K243" s="309" t="s">
        <v>386</v>
      </c>
    </row>
    <row r="244" spans="1:13" ht="16.5" customHeight="1">
      <c r="A244" s="487"/>
      <c r="B244" s="488"/>
      <c r="C244" s="490"/>
      <c r="D244" s="492"/>
      <c r="E244" s="483"/>
      <c r="F244" s="483"/>
      <c r="G244" s="172">
        <f t="shared" si="15"/>
        <v>30000000</v>
      </c>
      <c r="H244" s="483"/>
      <c r="I244" s="151">
        <v>30000000</v>
      </c>
      <c r="J244" s="326">
        <v>42342</v>
      </c>
      <c r="K244" s="378" t="s">
        <v>372</v>
      </c>
    </row>
    <row r="245" spans="1:13" ht="16.5" customHeight="1">
      <c r="A245" s="487"/>
      <c r="B245" s="488"/>
      <c r="C245" s="490"/>
      <c r="D245" s="492"/>
      <c r="E245" s="483"/>
      <c r="F245" s="483"/>
      <c r="G245" s="172">
        <f t="shared" si="15"/>
        <v>60000000</v>
      </c>
      <c r="H245" s="483"/>
      <c r="I245" s="151">
        <v>60000000</v>
      </c>
      <c r="J245" s="326">
        <v>42403</v>
      </c>
      <c r="K245" s="431" t="s">
        <v>372</v>
      </c>
    </row>
    <row r="246" spans="1:13" ht="16.5" customHeight="1">
      <c r="A246" s="487"/>
      <c r="B246" s="488"/>
      <c r="C246" s="490"/>
      <c r="D246" s="490"/>
      <c r="E246" s="483"/>
      <c r="F246" s="483"/>
      <c r="G246" s="172">
        <f t="shared" si="15"/>
        <v>0</v>
      </c>
      <c r="H246" s="483"/>
      <c r="I246" s="151"/>
      <c r="J246" s="176"/>
      <c r="K246" s="298"/>
    </row>
    <row r="247" spans="1:13" s="161" customFormat="1" ht="18" customHeight="1">
      <c r="A247" s="487"/>
      <c r="B247" s="488"/>
      <c r="C247" s="493" t="s">
        <v>94</v>
      </c>
      <c r="D247" s="494"/>
      <c r="E247" s="158">
        <f>SUM(E238:E246)</f>
        <v>0</v>
      </c>
      <c r="F247" s="158">
        <f>SUM(F238:F246)</f>
        <v>434232000</v>
      </c>
      <c r="G247" s="158">
        <f>SUM(G238:G246)</f>
        <v>360000000</v>
      </c>
      <c r="H247" s="158">
        <f>SUM(H238:H246)</f>
        <v>434232000</v>
      </c>
      <c r="I247" s="158">
        <f>SUM(I238:I246)</f>
        <v>370000000</v>
      </c>
      <c r="J247" s="159"/>
      <c r="K247" s="160" t="s">
        <v>42</v>
      </c>
      <c r="L247" s="302"/>
    </row>
    <row r="248" spans="1:13" s="161" customFormat="1" ht="18" customHeight="1">
      <c r="A248" s="487"/>
      <c r="B248" s="488"/>
      <c r="C248" s="493" t="s">
        <v>379</v>
      </c>
      <c r="D248" s="494"/>
      <c r="E248" s="162"/>
      <c r="F248" s="162"/>
      <c r="G248" s="163">
        <f>E247-G247</f>
        <v>-360000000</v>
      </c>
      <c r="H248" s="162"/>
      <c r="I248" s="163">
        <f>H247-I247</f>
        <v>64232000</v>
      </c>
      <c r="J248" s="159"/>
      <c r="K248" s="160"/>
      <c r="L248" s="302"/>
    </row>
    <row r="249" spans="1:13" ht="27" customHeight="1">
      <c r="A249" s="487">
        <v>29</v>
      </c>
      <c r="B249" s="488" t="s">
        <v>427</v>
      </c>
      <c r="C249" s="207" t="str">
        <f ca="1">"Chi phí TM (có HĐ) đến "&amp; TEXT(NOW(),"dd/MM/yy")</f>
        <v>Chi phí TM (có HĐ) đến 04/07/16</v>
      </c>
      <c r="D249" s="189"/>
      <c r="E249" s="212">
        <f t="array" ref="E249">SUM(IF(KHN&amp;KHC="642"&amp;"1111",TH))</f>
        <v>249314142</v>
      </c>
      <c r="F249" s="223">
        <f t="array" ref="F249">SUM(IF(KHN&amp;KHC="642"&amp;"1111",TH))</f>
        <v>249314142</v>
      </c>
      <c r="G249" s="212">
        <f>F249</f>
        <v>249314142</v>
      </c>
      <c r="H249" s="226">
        <f t="shared" ref="H249:I249" si="16">G249</f>
        <v>249314142</v>
      </c>
      <c r="I249" s="226">
        <f t="shared" si="16"/>
        <v>249314142</v>
      </c>
      <c r="J249" s="205" t="str">
        <f>IF(D249&lt;&gt;"",D249,"")</f>
        <v/>
      </c>
      <c r="K249" s="211" t="s">
        <v>386</v>
      </c>
    </row>
    <row r="250" spans="1:13" ht="16.5" customHeight="1">
      <c r="A250" s="487"/>
      <c r="B250" s="488"/>
      <c r="C250" s="211" t="str">
        <f ca="1">"CP lãi vay ( 09/2014 - "&amp;MONTH(NOW())&amp;"/"&amp;YEAR(NOW())&amp;" )"</f>
        <v>CP lãi vay ( 09/2014 - 7/2016 )</v>
      </c>
      <c r="D250" s="173"/>
      <c r="E250" s="212">
        <f t="array" ref="E250">SUM(IF(KHN&amp;KHC="635"&amp;"1121",TH))</f>
        <v>2538315624</v>
      </c>
      <c r="F250" s="223">
        <f t="array" ref="F250">SUM(IF(KHN&amp;KHC="635"&amp;"1121",TH))</f>
        <v>2538315624</v>
      </c>
      <c r="G250" s="226">
        <f t="shared" ref="G250:I253" si="17">F250</f>
        <v>2538315624</v>
      </c>
      <c r="H250" s="226">
        <f t="shared" si="17"/>
        <v>2538315624</v>
      </c>
      <c r="I250" s="226">
        <f t="shared" si="17"/>
        <v>2538315624</v>
      </c>
      <c r="J250" s="205" t="str">
        <f t="shared" ref="J250" si="18">IF(D250&lt;&gt;"",D250,"")</f>
        <v/>
      </c>
      <c r="K250" s="211" t="s">
        <v>386</v>
      </c>
    </row>
    <row r="251" spans="1:13" ht="16.5" customHeight="1">
      <c r="A251" s="487"/>
      <c r="B251" s="488"/>
      <c r="C251" s="211" t="s">
        <v>426</v>
      </c>
      <c r="D251" s="173">
        <v>42130</v>
      </c>
      <c r="E251" s="226"/>
      <c r="F251" s="223">
        <v>23000000</v>
      </c>
      <c r="G251" s="226">
        <f t="shared" si="17"/>
        <v>23000000</v>
      </c>
      <c r="H251" s="226">
        <f t="shared" si="17"/>
        <v>23000000</v>
      </c>
      <c r="I251" s="226">
        <f t="shared" si="17"/>
        <v>23000000</v>
      </c>
      <c r="J251" s="205">
        <f t="shared" ref="J251:J253" si="19">IF(D251&lt;&gt;"",D251,"")</f>
        <v>42130</v>
      </c>
      <c r="K251" s="211" t="s">
        <v>386</v>
      </c>
    </row>
    <row r="252" spans="1:13" ht="16.5" customHeight="1">
      <c r="A252" s="487"/>
      <c r="B252" s="488"/>
      <c r="C252" s="204" t="s">
        <v>428</v>
      </c>
      <c r="D252" s="205">
        <v>42224</v>
      </c>
      <c r="E252" s="206"/>
      <c r="F252" s="220">
        <v>3740000</v>
      </c>
      <c r="G252" s="226">
        <f t="shared" si="17"/>
        <v>3740000</v>
      </c>
      <c r="H252" s="226">
        <f t="shared" si="17"/>
        <v>3740000</v>
      </c>
      <c r="I252" s="226">
        <f t="shared" si="17"/>
        <v>3740000</v>
      </c>
      <c r="J252" s="205">
        <f t="shared" si="19"/>
        <v>42224</v>
      </c>
      <c r="K252" s="211" t="s">
        <v>386</v>
      </c>
    </row>
    <row r="253" spans="1:13" ht="16.5" customHeight="1">
      <c r="A253" s="487"/>
      <c r="B253" s="488"/>
      <c r="C253" s="204"/>
      <c r="D253" s="205"/>
      <c r="E253" s="206"/>
      <c r="F253" s="220"/>
      <c r="G253" s="226">
        <f t="shared" si="17"/>
        <v>0</v>
      </c>
      <c r="H253" s="226">
        <f t="shared" si="17"/>
        <v>0</v>
      </c>
      <c r="I253" s="226">
        <f t="shared" si="17"/>
        <v>0</v>
      </c>
      <c r="J253" s="205" t="str">
        <f t="shared" si="19"/>
        <v/>
      </c>
      <c r="K253" s="211"/>
    </row>
    <row r="254" spans="1:13" s="161" customFormat="1" ht="18" customHeight="1">
      <c r="A254" s="487"/>
      <c r="B254" s="488"/>
      <c r="C254" s="493" t="s">
        <v>94</v>
      </c>
      <c r="D254" s="494"/>
      <c r="E254" s="158">
        <f>SUM(E249:E253)</f>
        <v>2787629766</v>
      </c>
      <c r="F254" s="158">
        <f>SUM(F249:F253)</f>
        <v>2814369766</v>
      </c>
      <c r="G254" s="158">
        <f>SUM(G249:G253)</f>
        <v>2814369766</v>
      </c>
      <c r="H254" s="158">
        <f>SUM(H249:H253)</f>
        <v>2814369766</v>
      </c>
      <c r="I254" s="158">
        <f>SUM(I249:I253)</f>
        <v>2814369766</v>
      </c>
      <c r="J254" s="159"/>
      <c r="K254" s="160" t="s">
        <v>42</v>
      </c>
      <c r="L254" s="302"/>
    </row>
    <row r="255" spans="1:13" s="161" customFormat="1" ht="18" customHeight="1">
      <c r="A255" s="487"/>
      <c r="B255" s="488"/>
      <c r="C255" s="493" t="s">
        <v>379</v>
      </c>
      <c r="D255" s="494"/>
      <c r="E255" s="162"/>
      <c r="F255" s="162"/>
      <c r="G255" s="163"/>
      <c r="H255" s="162"/>
      <c r="I255" s="163">
        <f>H254-I254</f>
        <v>0</v>
      </c>
      <c r="J255" s="159"/>
      <c r="K255" s="160"/>
      <c r="L255" s="302"/>
    </row>
    <row r="256" spans="1:13" ht="28.5" customHeight="1">
      <c r="A256" s="484" t="s">
        <v>408</v>
      </c>
      <c r="B256" s="485"/>
      <c r="C256" s="485"/>
      <c r="D256" s="486"/>
      <c r="E256" s="146">
        <f>SUMIF(DSTT,"x",$E$7:$E$255)</f>
        <v>28904340525</v>
      </c>
      <c r="F256" s="146">
        <f>SUMIF(DSTT,"x",$F$7:$F$255)</f>
        <v>36816613714</v>
      </c>
      <c r="G256" s="146">
        <f>SUMIF(DSTT,"x",$G$7:$G$255)</f>
        <v>31421748855</v>
      </c>
      <c r="H256" s="146">
        <f>SUMIF(DSTT,"x",$H$7:$H$255)</f>
        <v>32794363291</v>
      </c>
      <c r="I256" s="146">
        <f>SUMIF(DSTT,"x",$I$7:$I$255)</f>
        <v>27155860483</v>
      </c>
      <c r="J256" s="196"/>
      <c r="K256" s="196"/>
      <c r="M256" s="197"/>
    </row>
    <row r="257" spans="10:13" ht="17.25" customHeight="1"/>
    <row r="258" spans="10:13" ht="17.25" customHeight="1"/>
    <row r="259" spans="10:13" ht="17.25" customHeight="1"/>
    <row r="260" spans="10:13" ht="17.25" customHeight="1">
      <c r="J260" s="198" t="s">
        <v>386</v>
      </c>
      <c r="K260" s="199">
        <f>SUMIF(DSTT,J260,DSTT1)</f>
        <v>3233850766</v>
      </c>
    </row>
    <row r="261" spans="10:13" ht="17.25" customHeight="1">
      <c r="J261" s="198" t="s">
        <v>372</v>
      </c>
      <c r="K261" s="199">
        <f>SUMIF(DSTT,J261,DSTT1)</f>
        <v>28407296023</v>
      </c>
      <c r="L261" s="197">
        <f>'331'!E41</f>
        <v>29661508134</v>
      </c>
      <c r="M261" s="200">
        <f>K261-L261+L262</f>
        <v>-1253884511</v>
      </c>
    </row>
    <row r="262" spans="10:13" ht="17.25" customHeight="1">
      <c r="J262" s="201" t="s">
        <v>390</v>
      </c>
      <c r="K262" s="199">
        <f>SUMIF(DSTT,J262,DSTT1)</f>
        <v>-4539195000</v>
      </c>
      <c r="L262" s="197">
        <f>327600</f>
        <v>327600</v>
      </c>
    </row>
    <row r="263" spans="10:13" ht="17.25" customHeight="1"/>
    <row r="264" spans="10:13" ht="17.25" customHeight="1">
      <c r="K264" s="202"/>
    </row>
  </sheetData>
  <autoFilter ref="A4:M237"/>
  <mergeCells count="253"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7"/>
    <mergeCell ref="H167:H187"/>
    <mergeCell ref="F167:F187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90:A196"/>
    <mergeCell ref="B190:B196"/>
    <mergeCell ref="C190:C194"/>
    <mergeCell ref="D190:D194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E190:E194"/>
    <mergeCell ref="H190:H194"/>
    <mergeCell ref="C195:D195"/>
    <mergeCell ref="C196:D196"/>
    <mergeCell ref="F190:F194"/>
    <mergeCell ref="B197:B202"/>
    <mergeCell ref="C197:C200"/>
    <mergeCell ref="D197:D200"/>
    <mergeCell ref="E197:E200"/>
    <mergeCell ref="H197:H200"/>
    <mergeCell ref="C201:D201"/>
    <mergeCell ref="C202:D202"/>
    <mergeCell ref="F197:F200"/>
    <mergeCell ref="F203:F207"/>
    <mergeCell ref="E203:E207"/>
    <mergeCell ref="H203:H207"/>
    <mergeCell ref="A80:A92"/>
    <mergeCell ref="B80:B92"/>
    <mergeCell ref="C80:C82"/>
    <mergeCell ref="D80:D82"/>
    <mergeCell ref="A203:A215"/>
    <mergeCell ref="B203:B215"/>
    <mergeCell ref="C203:C207"/>
    <mergeCell ref="D203:D207"/>
    <mergeCell ref="C132:D132"/>
    <mergeCell ref="C133:D133"/>
    <mergeCell ref="A167:A189"/>
    <mergeCell ref="B167:B189"/>
    <mergeCell ref="C167:C187"/>
    <mergeCell ref="D167:D187"/>
    <mergeCell ref="C188:D188"/>
    <mergeCell ref="C189:D189"/>
    <mergeCell ref="A197:A202"/>
    <mergeCell ref="C166:D166"/>
    <mergeCell ref="C147:D147"/>
    <mergeCell ref="C148:D148"/>
    <mergeCell ref="C158:D158"/>
    <mergeCell ref="H228:H235"/>
    <mergeCell ref="C236:D236"/>
    <mergeCell ref="C237:D237"/>
    <mergeCell ref="F228:F235"/>
    <mergeCell ref="H208:H213"/>
    <mergeCell ref="A216:A227"/>
    <mergeCell ref="B216:B227"/>
    <mergeCell ref="C216:C225"/>
    <mergeCell ref="D216:D225"/>
    <mergeCell ref="C226:D226"/>
    <mergeCell ref="C227:D227"/>
    <mergeCell ref="F208:F213"/>
    <mergeCell ref="C208:C213"/>
    <mergeCell ref="F216:F225"/>
    <mergeCell ref="C214:D214"/>
    <mergeCell ref="C215:D215"/>
    <mergeCell ref="E208:E213"/>
    <mergeCell ref="D208:D213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H238:H246"/>
    <mergeCell ref="C247:D247"/>
    <mergeCell ref="C248:D248"/>
    <mergeCell ref="A249:A255"/>
    <mergeCell ref="B249:B255"/>
    <mergeCell ref="C254:D254"/>
    <mergeCell ref="C255:D255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F238:F246"/>
    <mergeCell ref="A256:D256"/>
    <mergeCell ref="A238:A248"/>
    <mergeCell ref="B238:B248"/>
    <mergeCell ref="C238:C246"/>
    <mergeCell ref="D238:D246"/>
    <mergeCell ref="E238:E246"/>
    <mergeCell ref="A228:A237"/>
    <mergeCell ref="B228:B237"/>
    <mergeCell ref="C228:C235"/>
    <mergeCell ref="D228:D235"/>
    <mergeCell ref="E228:E235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22" workbookViewId="0">
      <selection activeCell="B38" sqref="B3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4" t="s">
        <v>424</v>
      </c>
      <c r="B1" s="544"/>
      <c r="C1" s="544"/>
      <c r="D1" s="544"/>
      <c r="E1" s="544"/>
    </row>
    <row r="2" spans="1:10" s="13" customFormat="1" ht="17.25" customHeight="1">
      <c r="A2" s="545" t="s">
        <v>79</v>
      </c>
      <c r="B2" s="547" t="s">
        <v>80</v>
      </c>
      <c r="C2" s="541" t="s">
        <v>81</v>
      </c>
      <c r="D2" s="542"/>
      <c r="E2" s="541" t="s">
        <v>82</v>
      </c>
      <c r="F2" s="542"/>
      <c r="G2" s="541" t="s">
        <v>102</v>
      </c>
      <c r="H2" s="542"/>
      <c r="I2" s="543"/>
    </row>
    <row r="3" spans="1:10" s="13" customFormat="1" ht="17.25" customHeight="1">
      <c r="A3" s="546"/>
      <c r="B3" s="548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3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233808666</v>
      </c>
      <c r="F4" s="8">
        <f t="array" ref="F4">SUM(IF("331"&amp;B4=KHC&amp;KH,TH))</f>
        <v>233808666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963508720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589743069</v>
      </c>
      <c r="F34" s="8">
        <f t="array" ref="F34">SUM(IF("331"&amp;B34=KHC&amp;KH,TH))</f>
        <v>589743069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29883744</v>
      </c>
      <c r="G35" s="213">
        <f t="shared" ref="G35:G36" si="17">ROUND(MAX(C35+E35-D35-F35,0),2)</f>
        <v>0</v>
      </c>
      <c r="H35" s="213">
        <f t="shared" ref="H35:H36" si="18">ROUND(MAX(D35+F35-C35-E35,0),2)</f>
        <v>8143872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1262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40920000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29661508134</v>
      </c>
      <c r="F41" s="18">
        <f t="shared" si="21"/>
        <v>31258355565</v>
      </c>
      <c r="G41" s="18">
        <f t="shared" si="21"/>
        <v>1630000000</v>
      </c>
      <c r="H41" s="18">
        <f t="shared" si="21"/>
        <v>3226847431</v>
      </c>
      <c r="I41" s="23"/>
      <c r="J41" s="23"/>
    </row>
    <row r="43" spans="1:10" ht="17.25" customHeight="1">
      <c r="E43" s="20">
        <f>CDPS!E24</f>
        <v>29661508134</v>
      </c>
      <c r="F43" s="20">
        <f>CDPS!F24</f>
        <v>31258355565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41" activePane="bottomLeft" state="frozen"/>
      <selection activeCell="E10" sqref="E10"/>
      <selection pane="bottomLeft" activeCell="D51" sqref="D51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51" t="s">
        <v>186</v>
      </c>
      <c r="I1" s="551"/>
      <c r="J1" s="551"/>
    </row>
    <row r="2" spans="1:10" s="3" customFormat="1" ht="14.25" customHeight="1">
      <c r="A2" s="1" t="s">
        <v>30</v>
      </c>
      <c r="B2" s="24"/>
      <c r="C2" s="24"/>
      <c r="G2" s="25"/>
      <c r="H2" s="552" t="s">
        <v>187</v>
      </c>
      <c r="I2" s="552"/>
      <c r="J2" s="552"/>
    </row>
    <row r="3" spans="1:10" s="3" customFormat="1" ht="14.25" customHeight="1">
      <c r="A3" s="4"/>
      <c r="B3" s="24"/>
      <c r="C3" s="24"/>
      <c r="G3" s="25"/>
      <c r="H3" s="552"/>
      <c r="I3" s="552"/>
      <c r="J3" s="552"/>
    </row>
    <row r="4" spans="1:10" s="5" customFormat="1" ht="28.5" customHeight="1">
      <c r="A4" s="558" t="s">
        <v>64</v>
      </c>
      <c r="B4" s="558"/>
      <c r="C4" s="558"/>
      <c r="D4" s="558"/>
      <c r="E4" s="558"/>
      <c r="F4" s="558"/>
      <c r="G4" s="558"/>
      <c r="H4" s="558"/>
      <c r="I4" s="558"/>
      <c r="J4" s="558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53" t="s">
        <v>111</v>
      </c>
      <c r="F7" s="553"/>
      <c r="G7" s="553"/>
      <c r="H7" s="553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4"/>
      <c r="D9" s="554"/>
      <c r="E9" s="554"/>
      <c r="F9" s="554"/>
      <c r="G9" s="554"/>
      <c r="H9" s="554"/>
      <c r="I9" s="554"/>
      <c r="J9" s="554"/>
    </row>
    <row r="10" spans="1:10" s="26" customFormat="1" ht="14.25" customHeight="1">
      <c r="A10" s="550" t="s">
        <v>50</v>
      </c>
      <c r="B10" s="555" t="s">
        <v>10</v>
      </c>
      <c r="C10" s="555"/>
      <c r="D10" s="550" t="s">
        <v>0</v>
      </c>
      <c r="E10" s="550" t="s">
        <v>31</v>
      </c>
      <c r="F10" s="550" t="s">
        <v>68</v>
      </c>
      <c r="G10" s="556" t="s">
        <v>51</v>
      </c>
      <c r="H10" s="557"/>
      <c r="I10" s="556" t="s">
        <v>69</v>
      </c>
      <c r="J10" s="557"/>
    </row>
    <row r="11" spans="1:10" s="26" customFormat="1" ht="24.75" customHeight="1">
      <c r="A11" s="550"/>
      <c r="B11" s="38" t="s">
        <v>32</v>
      </c>
      <c r="C11" s="38" t="s">
        <v>70</v>
      </c>
      <c r="D11" s="550"/>
      <c r="E11" s="550"/>
      <c r="F11" s="550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41905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41905</v>
      </c>
      <c r="D14" s="126" t="str">
        <f ca="1">IF(ROWS($1:1)&gt;COUNT(Dong),"",OFFSET(TH!F$1,SMALL(Dong,ROWS($1:1)),))</f>
        <v>Thanh toán tiền xây dựng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752610000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752610000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41942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41942</v>
      </c>
      <c r="D15" s="126" t="str">
        <f ca="1">IF(ROWS($1:2)&gt;COUNT(Dong),"",OFFSET(TH!F$1,SMALL(Dong,ROWS($1:2)),))</f>
        <v>Thanh toán tiền xây dựng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1252610000</v>
      </c>
      <c r="J15" s="33">
        <f t="shared" ca="1" si="2"/>
        <v>0</v>
      </c>
    </row>
    <row r="16" spans="1:10" s="26" customFormat="1" ht="18" customHeight="1">
      <c r="A16" s="11">
        <f t="shared" ca="1" si="0"/>
        <v>42012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42012</v>
      </c>
      <c r="D16" s="126" t="str">
        <f ca="1">IF(ROWS($1:3)&gt;COUNT(Dong),"",OFFSET(TH!F$1,SMALL(Dong,ROWS($1:3)),))</f>
        <v xml:space="preserve">Thanh toán tiền công trình 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1752610000</v>
      </c>
      <c r="J16" s="33">
        <f t="shared" ca="1" si="2"/>
        <v>0</v>
      </c>
    </row>
    <row r="17" spans="1:10" s="26" customFormat="1" ht="18" customHeight="1">
      <c r="A17" s="11">
        <f t="shared" ca="1" si="0"/>
        <v>42094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42094</v>
      </c>
      <c r="D17" s="126" t="str">
        <f ca="1">IF(ROWS($1:4)&gt;COUNT(Dong),"",OFFSET(TH!F$1,SMALL(Dong,ROWS($1:4)),))</f>
        <v xml:space="preserve">Thanh toán tiền công trình 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251000000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2003610000</v>
      </c>
      <c r="J17" s="33">
        <f t="shared" ca="1" si="2"/>
        <v>0</v>
      </c>
    </row>
    <row r="18" spans="1:10" s="26" customFormat="1" ht="18" customHeight="1">
      <c r="A18" s="11">
        <f t="shared" ca="1" si="0"/>
        <v>42171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42171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IF(ROWS($1:5)&gt;COUNT(Dong),"",IF(OFFSET(TH!N$1,SMALL(Dong,ROWS($1:5)),)="331",OFFSET(TH!O$1,SMALL(Dong,ROWS($1:5)),),OFFSET(TH!N$1,SMALL(Dong,ROWS($1:5)),)))</f>
        <v>1121</v>
      </c>
      <c r="F18" s="127"/>
      <c r="G18" s="251">
        <f ca="1">IF(ROWS($1:5)&gt;COUNT(Dong),"",IF(OFFSET(TH!N$1,SMALL(Dong,ROWS($1:5)),)="331",OFFSET(TH!M$1,SMALL(Dong,ROWS($1:5)),),0))</f>
        <v>200000000</v>
      </c>
      <c r="H18" s="251">
        <f ca="1">IF(ROWS($1:5)&gt;COUNT(Dong),"",IF(OFFSET(TH!O$1,SMALL(Dong,ROWS($1:5)),)="331",OFFSET(TH!M$1,SMALL(Dong,ROWS($1:5)),),0))</f>
        <v>0</v>
      </c>
      <c r="I18" s="33">
        <f t="shared" ca="1" si="1"/>
        <v>2203610000</v>
      </c>
      <c r="J18" s="33">
        <f t="shared" ca="1" si="2"/>
        <v>0</v>
      </c>
    </row>
    <row r="19" spans="1:10" s="26" customFormat="1" ht="18" customHeight="1">
      <c r="A19" s="11">
        <f t="shared" ca="1" si="0"/>
        <v>42199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42199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IF(ROWS($1:6)&gt;COUNT(Dong),"",IF(OFFSET(TH!N$1,SMALL(Dong,ROWS($1:6)),)="331",OFFSET(TH!O$1,SMALL(Dong,ROWS($1:6)),),OFFSET(TH!N$1,SMALL(Dong,ROWS($1:6)),)))</f>
        <v>1121</v>
      </c>
      <c r="F19" s="127"/>
      <c r="G19" s="251">
        <f ca="1">IF(ROWS($1:6)&gt;COUNT(Dong),"",IF(OFFSET(TH!N$1,SMALL(Dong,ROWS($1:6)),)="331",OFFSET(TH!M$1,SMALL(Dong,ROWS($1:6)),),0))</f>
        <v>400000000</v>
      </c>
      <c r="H19" s="251">
        <f ca="1">IF(ROWS($1:6)&gt;COUNT(Dong),"",IF(OFFSET(TH!O$1,SMALL(Dong,ROWS($1:6)),)="331",OFFSET(TH!M$1,SMALL(Dong,ROWS($1:6)),),0))</f>
        <v>0</v>
      </c>
      <c r="I19" s="33">
        <f t="shared" ca="1" si="1"/>
        <v>2603610000</v>
      </c>
      <c r="J19" s="33">
        <f t="shared" ca="1" si="2"/>
        <v>0</v>
      </c>
    </row>
    <row r="20" spans="1:10" s="26" customFormat="1" ht="18" customHeight="1">
      <c r="A20" s="11">
        <f t="shared" ca="1" si="0"/>
        <v>42229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42229</v>
      </c>
      <c r="D20" s="126" t="str">
        <f ca="1">IF(ROWS($1:7)&gt;COUNT(Dong),"",OFFSET(TH!F$1,SMALL(Dong,ROWS($1:7)),))</f>
        <v>Thi công sản xuất lắp dựng kết cấu thép nhà xưởng</v>
      </c>
      <c r="E20" s="127" t="str">
        <f ca="1">IF(ROWS($1:7)&gt;COUNT(Dong),"",IF(OFFSET(TH!N$1,SMALL(Dong,ROWS($1:7)),)="331",OFFSET(TH!O$1,SMALL(Dong,ROWS($1:7)),),OFFSET(TH!N$1,SMALL(Dong,ROWS($1:7)),)))</f>
        <v>2412</v>
      </c>
      <c r="F20" s="127"/>
      <c r="G20" s="251">
        <f ca="1">IF(ROWS($1:7)&gt;COUNT(Dong),"",IF(OFFSET(TH!N$1,SMALL(Dong,ROWS($1:7)),)="331",OFFSET(TH!M$1,SMALL(Dong,ROWS($1:7)),),0))</f>
        <v>0</v>
      </c>
      <c r="H20" s="251">
        <f ca="1">IF(ROWS($1:7)&gt;COUNT(Dong),"",IF(OFFSET(TH!O$1,SMALL(Dong,ROWS($1:7)),)="331",OFFSET(TH!M$1,SMALL(Dong,ROWS($1:7)),),0))</f>
        <v>2000000000</v>
      </c>
      <c r="I20" s="33">
        <f t="shared" ca="1" si="1"/>
        <v>603610000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42229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42229</v>
      </c>
      <c r="D21" s="126" t="str">
        <f ca="1">IF(ROWS($1:8)&gt;COUNT(Dong),"",OFFSET(TH!F$1,SMALL(Dong,ROWS($1:8)),))</f>
        <v>VAT Thi công sản xuất lắp dựng kết cấu thép nhà xưởng</v>
      </c>
      <c r="E21" s="127" t="str">
        <f ca="1">IF(ROWS($1:8)&gt;COUNT(Dong),"",IF(OFFSET(TH!N$1,SMALL(Dong,ROWS($1:8)),)="331",OFFSET(TH!O$1,SMALL(Dong,ROWS($1:8)),),OFFSET(TH!N$1,SMALL(Dong,ROWS($1:8)),)))</f>
        <v>1331</v>
      </c>
      <c r="F21" s="127"/>
      <c r="G21" s="108">
        <f ca="1">IF(ROWS($1:8)&gt;COUNT(Dong),"",IF(OFFSET(TH!N$1,SMALL(Dong,ROWS($1:8)),)="331",OFFSET(TH!M$1,SMALL(Dong,ROWS($1:8)),),0))</f>
        <v>0</v>
      </c>
      <c r="H21" s="108">
        <f ca="1">IF(ROWS($1:8)&gt;COUNT(Dong),"",IF(OFFSET(TH!O$1,SMALL(Dong,ROWS($1:8)),)="331",OFFSET(TH!M$1,SMALL(Dong,ROWS($1:8)),),0))</f>
        <v>200000000</v>
      </c>
      <c r="I21" s="33">
        <f t="shared" ref="I21:I32" ca="1" si="4">IF(D21&lt;&gt;"",MAX(I20+G21-H21-J20,0),0)</f>
        <v>403610000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42328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42328</v>
      </c>
      <c r="D22" s="126" t="str">
        <f ca="1">IF(ROWS($1:9)&gt;COUNT(Dong),"",OFFSET(TH!F$1,SMALL(Dong,ROWS($1:9)),))</f>
        <v>Thi công công trình theo HĐTC số 02-14/HĐTC-HK</v>
      </c>
      <c r="E22" s="127" t="str">
        <f ca="1">IF(ROWS($1:9)&gt;COUNT(Dong),"",IF(OFFSET(TH!N$1,SMALL(Dong,ROWS($1:9)),)="331",OFFSET(TH!O$1,SMALL(Dong,ROWS($1:9)),),OFFSET(TH!N$1,SMALL(Dong,ROWS($1:9)),)))</f>
        <v>2412</v>
      </c>
      <c r="F22" s="127"/>
      <c r="G22" s="108">
        <f ca="1">IF(ROWS($1:9)&gt;COUNT(Dong),"",IF(OFFSET(TH!N$1,SMALL(Dong,ROWS($1:9)),)="331",OFFSET(TH!M$1,SMALL(Dong,ROWS($1:9)),),0))</f>
        <v>0</v>
      </c>
      <c r="H22" s="108">
        <f ca="1">IF(ROWS($1:9)&gt;COUNT(Dong),"",IF(OFFSET(TH!O$1,SMALL(Dong,ROWS($1:9)),)="331",OFFSET(TH!M$1,SMALL(Dong,ROWS($1:9)),),0))</f>
        <v>280636364</v>
      </c>
      <c r="I22" s="33">
        <f t="shared" ca="1" si="4"/>
        <v>122973636</v>
      </c>
      <c r="J22" s="33">
        <f t="shared" ca="1" si="5"/>
        <v>0</v>
      </c>
    </row>
    <row r="23" spans="1:10" s="26" customFormat="1" ht="18" customHeight="1">
      <c r="A23" s="11">
        <f t="shared" ca="1" si="3"/>
        <v>42328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42328</v>
      </c>
      <c r="D23" s="126" t="str">
        <f ca="1">IF(ROWS($1:10)&gt;COUNT(Dong),"",OFFSET(TH!F$1,SMALL(Dong,ROWS($1:10)),))</f>
        <v>VAT Thi công công trình theo HĐTC số 02-14/HĐTC-HK</v>
      </c>
      <c r="E23" s="127" t="str">
        <f ca="1">IF(ROWS($1:10)&gt;COUNT(Dong),"",IF(OFFSET(TH!N$1,SMALL(Dong,ROWS($1:10)),)="331",OFFSET(TH!O$1,SMALL(Dong,ROWS($1:10)),),OFFSET(TH!N$1,SMALL(Dong,ROWS($1:10)),)))</f>
        <v>1331</v>
      </c>
      <c r="F23" s="127"/>
      <c r="G23" s="108">
        <f ca="1">IF(ROWS($1:10)&gt;COUNT(Dong),"",IF(OFFSET(TH!N$1,SMALL(Dong,ROWS($1:10)),)="331",OFFSET(TH!M$1,SMALL(Dong,ROWS($1:10)),),0))</f>
        <v>0</v>
      </c>
      <c r="H23" s="108">
        <f ca="1">IF(ROWS($1:10)&gt;COUNT(Dong),"",IF(OFFSET(TH!O$1,SMALL(Dong,ROWS($1:10)),)="331",OFFSET(TH!M$1,SMALL(Dong,ROWS($1:10)),),0))</f>
        <v>28063636</v>
      </c>
      <c r="I23" s="33">
        <f t="shared" ca="1" si="4"/>
        <v>94910000</v>
      </c>
      <c r="J23" s="33">
        <f t="shared" ca="1" si="5"/>
        <v>0</v>
      </c>
    </row>
    <row r="24" spans="1:10" s="26" customFormat="1" ht="18" customHeight="1">
      <c r="A24" s="11">
        <f t="shared" ca="1" si="3"/>
        <v>42329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42329</v>
      </c>
      <c r="D24" s="126" t="str">
        <f ca="1">IF(ROWS($1:11)&gt;COUNT(Dong),"",OFFSET(TH!F$1,SMALL(Dong,ROWS($1:11)),))</f>
        <v>Thi công công trình theo HĐTC số 01-2015/HĐTC-HK</v>
      </c>
      <c r="E24" s="127" t="str">
        <f ca="1">IF(ROWS($1:11)&gt;COUNT(Dong),"",IF(OFFSET(TH!N$1,SMALL(Dong,ROWS($1:11)),)="331",OFFSET(TH!O$1,SMALL(Dong,ROWS($1:11)),),OFFSET(TH!N$1,SMALL(Dong,ROWS($1:11)),)))</f>
        <v>2412</v>
      </c>
      <c r="F24" s="127"/>
      <c r="G24" s="108">
        <f ca="1">IF(ROWS($1:11)&gt;COUNT(Dong),"",IF(OFFSET(TH!N$1,SMALL(Dong,ROWS($1:11)),)="331",OFFSET(TH!M$1,SMALL(Dong,ROWS($1:11)),),0))</f>
        <v>0</v>
      </c>
      <c r="H24" s="108">
        <f ca="1">IF(ROWS($1:11)&gt;COUNT(Dong),"",IF(OFFSET(TH!O$1,SMALL(Dong,ROWS($1:11)),)="331",OFFSET(TH!M$1,SMALL(Dong,ROWS($1:11)),),0))</f>
        <v>455818182</v>
      </c>
      <c r="I24" s="33">
        <f t="shared" ca="1" si="4"/>
        <v>0</v>
      </c>
      <c r="J24" s="33">
        <f t="shared" ca="1" si="5"/>
        <v>360908182</v>
      </c>
    </row>
    <row r="25" spans="1:10" s="26" customFormat="1" ht="18" customHeight="1">
      <c r="A25" s="11">
        <f t="shared" ca="1" si="3"/>
        <v>42329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42329</v>
      </c>
      <c r="D25" s="126" t="str">
        <f ca="1">IF(ROWS($1:12)&gt;COUNT(Dong),"",OFFSET(TH!F$1,SMALL(Dong,ROWS($1:12)),))</f>
        <v>VAT Thi công công trình theo HĐTC số 01-2015/HĐTC-HK</v>
      </c>
      <c r="E25" s="127" t="str">
        <f ca="1">IF(ROWS($1:12)&gt;COUNT(Dong),"",IF(OFFSET(TH!N$1,SMALL(Dong,ROWS($1:12)),)="331",OFFSET(TH!O$1,SMALL(Dong,ROWS($1:12)),),OFFSET(TH!N$1,SMALL(Dong,ROWS($1:12)),)))</f>
        <v>1331</v>
      </c>
      <c r="F25" s="127"/>
      <c r="G25" s="108">
        <f ca="1">IF(ROWS($1:12)&gt;COUNT(Dong),"",IF(OFFSET(TH!N$1,SMALL(Dong,ROWS($1:12)),)="331",OFFSET(TH!M$1,SMALL(Dong,ROWS($1:12)),),0))</f>
        <v>0</v>
      </c>
      <c r="H25" s="108">
        <f ca="1">IF(ROWS($1:12)&gt;COUNT(Dong),"",IF(OFFSET(TH!O$1,SMALL(Dong,ROWS($1:12)),)="331",OFFSET(TH!M$1,SMALL(Dong,ROWS($1:12)),),0))</f>
        <v>45581818</v>
      </c>
      <c r="I25" s="33">
        <f t="shared" ca="1" si="4"/>
        <v>0</v>
      </c>
      <c r="J25" s="33">
        <f t="shared" ca="1" si="5"/>
        <v>406490000</v>
      </c>
    </row>
    <row r="26" spans="1:10" s="26" customFormat="1" ht="18" customHeight="1">
      <c r="A26" s="11">
        <f t="shared" ca="1" si="3"/>
        <v>42366</v>
      </c>
      <c r="B26" s="11" t="str">
        <f ca="1">IF(ROWS($1:13)&gt;COUNT(Dong),"",OFFSET(TH!D$1,SMALL(Dong,ROWS($1:13)),))</f>
        <v>GBN</v>
      </c>
      <c r="C26" s="11">
        <f ca="1">IF(ROWS($1:13)&gt;COUNT(Dong),"",OFFSET(TH!E$1,SMALL(Dong,ROWS($1:13)),))</f>
        <v>42366</v>
      </c>
      <c r="D26" s="126" t="str">
        <f ca="1">IF(ROWS($1:13)&gt;COUNT(Dong),"",OFFSET(TH!F$1,SMALL(Dong,ROWS($1:13)),))</f>
        <v>Thanh toán tiền công trình</v>
      </c>
      <c r="E26" s="127" t="str">
        <f ca="1">IF(ROWS($1:13)&gt;COUNT(Dong),"",IF(OFFSET(TH!N$1,SMALL(Dong,ROWS($1:13)),)="331",OFFSET(TH!O$1,SMALL(Dong,ROWS($1:13)),),OFFSET(TH!N$1,SMALL(Dong,ROWS($1:13)),)))</f>
        <v>1121</v>
      </c>
      <c r="F26" s="127"/>
      <c r="G26" s="108">
        <f ca="1">IF(ROWS($1:13)&gt;COUNT(Dong),"",IF(OFFSET(TH!N$1,SMALL(Dong,ROWS($1:13)),)="331",OFFSET(TH!M$1,SMALL(Dong,ROWS($1:13)),),0))</f>
        <v>406490000</v>
      </c>
      <c r="H26" s="108">
        <f ca="1">IF(ROWS($1:13)&gt;COUNT(Dong),"",IF(OFFSET(TH!O$1,SMALL(Dong,ROWS($1:13)),)="331",OFFSET(TH!M$1,SMALL(Dong,ROWS($1:13)),),0))</f>
        <v>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3010100000</v>
      </c>
      <c r="H51" s="35">
        <f ca="1">SUM(H14:H50)</f>
        <v>3010100000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49" t="s">
        <v>77</v>
      </c>
      <c r="F56" s="549"/>
      <c r="G56" s="549"/>
      <c r="H56" s="549"/>
      <c r="I56" s="549"/>
      <c r="J56" s="549"/>
    </row>
    <row r="57" spans="1:10" s="26" customFormat="1" ht="14.25" customHeight="1">
      <c r="A57" s="549" t="s">
        <v>26</v>
      </c>
      <c r="B57" s="549"/>
      <c r="C57" s="549"/>
      <c r="D57" s="549"/>
      <c r="E57" s="549" t="s">
        <v>27</v>
      </c>
      <c r="F57" s="549"/>
      <c r="G57" s="549"/>
      <c r="H57" s="549"/>
      <c r="I57" s="549"/>
      <c r="J57" s="549"/>
    </row>
    <row r="58" spans="1:10" s="26" customFormat="1" ht="14.25" customHeight="1">
      <c r="A58" s="549" t="s">
        <v>28</v>
      </c>
      <c r="B58" s="549"/>
      <c r="C58" s="549"/>
      <c r="D58" s="549"/>
      <c r="E58" s="549" t="s">
        <v>28</v>
      </c>
      <c r="F58" s="549"/>
      <c r="G58" s="549"/>
      <c r="H58" s="549"/>
      <c r="I58" s="549"/>
      <c r="J58" s="549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7" t="str">
        <f ca="1">"CHI PHÍ XÂY DỰNG TRÀ VINH   " &amp; TEXT(NOW(),"dd/MM/yyyy")</f>
        <v>CHI PHÍ XÂY DỰNG TRÀ VINH   04/07/2016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303"/>
    </row>
    <row r="3" spans="1:12" s="145" customFormat="1" ht="19.5" customHeight="1">
      <c r="A3" s="518" t="s">
        <v>79</v>
      </c>
      <c r="B3" s="518" t="s">
        <v>359</v>
      </c>
      <c r="C3" s="518" t="s">
        <v>360</v>
      </c>
      <c r="D3" s="518" t="s">
        <v>361</v>
      </c>
      <c r="E3" s="519" t="s">
        <v>362</v>
      </c>
      <c r="F3" s="520"/>
      <c r="G3" s="521"/>
      <c r="H3" s="519" t="s">
        <v>363</v>
      </c>
      <c r="I3" s="521"/>
      <c r="J3" s="522" t="s">
        <v>364</v>
      </c>
      <c r="K3" s="518" t="s">
        <v>365</v>
      </c>
      <c r="L3" s="199"/>
    </row>
    <row r="4" spans="1:12" s="148" customFormat="1" ht="19.5" customHeight="1">
      <c r="A4" s="518"/>
      <c r="B4" s="518"/>
      <c r="C4" s="518"/>
      <c r="D4" s="518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3"/>
      <c r="K4" s="518"/>
      <c r="L4" s="304"/>
    </row>
    <row r="5" spans="1:12" ht="17.25" customHeight="1">
      <c r="A5" s="487">
        <v>16</v>
      </c>
      <c r="B5" s="487" t="s">
        <v>111</v>
      </c>
      <c r="C5" s="489" t="s">
        <v>393</v>
      </c>
      <c r="D5" s="491">
        <v>41871</v>
      </c>
      <c r="E5" s="482">
        <v>2200000000</v>
      </c>
      <c r="F5" s="482">
        <f>2508700000</f>
        <v>2508700000</v>
      </c>
      <c r="G5" s="172">
        <f>IF(I5&gt;0,I5,0)</f>
        <v>752610000</v>
      </c>
      <c r="H5" s="482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87"/>
      <c r="B6" s="487"/>
      <c r="C6" s="490"/>
      <c r="D6" s="490"/>
      <c r="E6" s="483"/>
      <c r="F6" s="483"/>
      <c r="G6" s="172">
        <f t="shared" ref="G6:G16" si="0">IF(I6&gt;0,I6,0)</f>
        <v>0</v>
      </c>
      <c r="H6" s="483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87"/>
      <c r="B7" s="487"/>
      <c r="C7" s="490"/>
      <c r="D7" s="490"/>
      <c r="E7" s="483"/>
      <c r="F7" s="483"/>
      <c r="G7" s="172">
        <f t="shared" si="0"/>
        <v>500000000</v>
      </c>
      <c r="H7" s="483"/>
      <c r="I7" s="172">
        <v>500000000</v>
      </c>
      <c r="J7" s="173">
        <v>41942</v>
      </c>
      <c r="K7" s="325" t="s">
        <v>372</v>
      </c>
    </row>
    <row r="8" spans="1:12" ht="17.25" customHeight="1">
      <c r="A8" s="487"/>
      <c r="B8" s="487"/>
      <c r="C8" s="490"/>
      <c r="D8" s="490"/>
      <c r="E8" s="483"/>
      <c r="F8" s="483"/>
      <c r="G8" s="172">
        <f t="shared" si="0"/>
        <v>0</v>
      </c>
      <c r="H8" s="483"/>
      <c r="I8" s="185">
        <v>-100000000</v>
      </c>
      <c r="J8" s="186">
        <v>41951</v>
      </c>
      <c r="K8" s="187" t="s">
        <v>390</v>
      </c>
    </row>
    <row r="9" spans="1:12" ht="17.25" customHeight="1">
      <c r="A9" s="487"/>
      <c r="B9" s="487"/>
      <c r="C9" s="490"/>
      <c r="D9" s="490"/>
      <c r="E9" s="483"/>
      <c r="F9" s="483"/>
      <c r="G9" s="172">
        <f t="shared" si="0"/>
        <v>500000000</v>
      </c>
      <c r="H9" s="483"/>
      <c r="I9" s="172">
        <v>500000000</v>
      </c>
      <c r="J9" s="173">
        <v>42010</v>
      </c>
      <c r="K9" s="325" t="s">
        <v>372</v>
      </c>
    </row>
    <row r="10" spans="1:12" ht="17.25" customHeight="1">
      <c r="A10" s="487"/>
      <c r="B10" s="487"/>
      <c r="C10" s="490" t="s">
        <v>394</v>
      </c>
      <c r="D10" s="492">
        <v>42139</v>
      </c>
      <c r="E10" s="501">
        <f>308700000+501400000</f>
        <v>810100000</v>
      </c>
      <c r="F10" s="501">
        <f>184000000+317400000</f>
        <v>501400000</v>
      </c>
      <c r="G10" s="172">
        <f t="shared" si="0"/>
        <v>0</v>
      </c>
      <c r="H10" s="483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87"/>
      <c r="B11" s="487"/>
      <c r="C11" s="490"/>
      <c r="D11" s="492"/>
      <c r="E11" s="501"/>
      <c r="F11" s="501"/>
      <c r="G11" s="172">
        <f t="shared" si="0"/>
        <v>251000000</v>
      </c>
      <c r="H11" s="483"/>
      <c r="I11" s="172">
        <v>251000000</v>
      </c>
      <c r="J11" s="173">
        <v>42094</v>
      </c>
      <c r="K11" s="325" t="s">
        <v>372</v>
      </c>
    </row>
    <row r="12" spans="1:12" ht="17.25" customHeight="1">
      <c r="A12" s="487"/>
      <c r="B12" s="487"/>
      <c r="C12" s="490"/>
      <c r="D12" s="492"/>
      <c r="E12" s="501"/>
      <c r="F12" s="501"/>
      <c r="G12" s="172">
        <f t="shared" si="0"/>
        <v>200000000</v>
      </c>
      <c r="H12" s="483"/>
      <c r="I12" s="172">
        <v>200000000</v>
      </c>
      <c r="J12" s="173">
        <v>42170</v>
      </c>
      <c r="K12" s="325" t="s">
        <v>372</v>
      </c>
    </row>
    <row r="13" spans="1:12" ht="17.25" customHeight="1">
      <c r="A13" s="487"/>
      <c r="B13" s="487"/>
      <c r="C13" s="490"/>
      <c r="D13" s="492"/>
      <c r="E13" s="501"/>
      <c r="F13" s="501"/>
      <c r="G13" s="172">
        <f t="shared" si="0"/>
        <v>400000000</v>
      </c>
      <c r="H13" s="483"/>
      <c r="I13" s="172">
        <v>400000000</v>
      </c>
      <c r="J13" s="173">
        <v>42199</v>
      </c>
      <c r="K13" s="325" t="s">
        <v>372</v>
      </c>
    </row>
    <row r="14" spans="1:12" ht="17.25" customHeight="1">
      <c r="A14" s="487"/>
      <c r="B14" s="487"/>
      <c r="C14" s="490"/>
      <c r="D14" s="492"/>
      <c r="E14" s="501"/>
      <c r="F14" s="501"/>
      <c r="G14" s="172">
        <f t="shared" si="0"/>
        <v>0</v>
      </c>
      <c r="H14" s="483"/>
      <c r="I14" s="185">
        <v>-200000000</v>
      </c>
      <c r="J14" s="173">
        <v>42202</v>
      </c>
      <c r="K14" s="187" t="s">
        <v>390</v>
      </c>
    </row>
    <row r="15" spans="1:12" ht="17.25" customHeight="1">
      <c r="A15" s="487"/>
      <c r="B15" s="487"/>
      <c r="C15" s="490"/>
      <c r="D15" s="492"/>
      <c r="E15" s="501"/>
      <c r="F15" s="501"/>
      <c r="G15" s="172">
        <f t="shared" si="0"/>
        <v>0</v>
      </c>
      <c r="H15" s="483"/>
      <c r="I15" s="151"/>
      <c r="J15" s="173"/>
      <c r="K15" s="325"/>
    </row>
    <row r="16" spans="1:12" ht="17.25" customHeight="1">
      <c r="A16" s="487"/>
      <c r="B16" s="487"/>
      <c r="C16" s="490"/>
      <c r="D16" s="492"/>
      <c r="E16" s="501"/>
      <c r="F16" s="501"/>
      <c r="G16" s="172">
        <f t="shared" si="0"/>
        <v>0</v>
      </c>
      <c r="H16" s="483"/>
      <c r="I16" s="151"/>
      <c r="J16" s="324"/>
      <c r="K16" s="323"/>
    </row>
    <row r="17" spans="1:12" s="161" customFormat="1" ht="18" customHeight="1">
      <c r="A17" s="487"/>
      <c r="B17" s="487"/>
      <c r="C17" s="493" t="s">
        <v>94</v>
      </c>
      <c r="D17" s="494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87"/>
      <c r="B18" s="487"/>
      <c r="C18" s="493" t="s">
        <v>379</v>
      </c>
      <c r="D18" s="494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59" t="s">
        <v>747</v>
      </c>
      <c r="D19" s="559"/>
      <c r="E19" s="158">
        <f>F17-H17</f>
        <v>761400000</v>
      </c>
      <c r="G19" s="559" t="s">
        <v>748</v>
      </c>
      <c r="H19" s="559"/>
      <c r="I19" s="158">
        <f>E19*10%</f>
        <v>76140000</v>
      </c>
      <c r="J19" s="158"/>
      <c r="K19" s="158"/>
    </row>
    <row r="20" spans="1:12" ht="17.25" customHeight="1">
      <c r="C20" s="559" t="s">
        <v>748</v>
      </c>
      <c r="D20" s="559"/>
      <c r="E20" s="158">
        <f>E19*10%</f>
        <v>76140000</v>
      </c>
      <c r="G20" s="493" t="s">
        <v>379</v>
      </c>
      <c r="H20" s="494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60" t="s">
        <v>889</v>
      </c>
      <c r="B2" s="568" t="s">
        <v>890</v>
      </c>
      <c r="C2" s="568" t="s">
        <v>80</v>
      </c>
      <c r="D2" s="567" t="s">
        <v>891</v>
      </c>
      <c r="E2" s="567"/>
      <c r="F2" s="567"/>
      <c r="G2" s="567" t="s">
        <v>892</v>
      </c>
      <c r="H2" s="567"/>
      <c r="I2" s="567"/>
      <c r="J2" s="567" t="s">
        <v>893</v>
      </c>
      <c r="K2" s="567"/>
      <c r="L2" s="567" t="s">
        <v>894</v>
      </c>
      <c r="M2" s="567"/>
      <c r="N2" s="568" t="s">
        <v>365</v>
      </c>
    </row>
    <row r="3" spans="1:14" s="327" customFormat="1" ht="32.25" customHeight="1">
      <c r="A3" s="560"/>
      <c r="B3" s="568"/>
      <c r="C3" s="568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68"/>
    </row>
    <row r="4" spans="1:14" s="327" customFormat="1" ht="32.25" customHeight="1">
      <c r="A4" s="569" t="s">
        <v>898</v>
      </c>
      <c r="B4" s="569"/>
      <c r="C4" s="569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60" t="s">
        <v>94</v>
      </c>
      <c r="B31" s="560"/>
      <c r="C31" s="560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70" t="s">
        <v>936</v>
      </c>
      <c r="B32" s="571"/>
      <c r="C32" s="572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60" t="s">
        <v>94</v>
      </c>
      <c r="B72" s="560"/>
      <c r="C72" s="560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60" t="s">
        <v>970</v>
      </c>
      <c r="B73" s="560"/>
      <c r="C73" s="560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60" t="s">
        <v>94</v>
      </c>
      <c r="B112" s="560"/>
      <c r="C112" s="560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60" t="s">
        <v>995</v>
      </c>
      <c r="B113" s="560"/>
      <c r="C113" s="560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60" t="s">
        <v>94</v>
      </c>
      <c r="B152" s="560"/>
      <c r="C152" s="560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60" t="s">
        <v>1007</v>
      </c>
      <c r="B153" s="560"/>
      <c r="C153" s="560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60" t="s">
        <v>94</v>
      </c>
      <c r="B180" s="560"/>
      <c r="C180" s="560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60" t="s">
        <v>1023</v>
      </c>
      <c r="B181" s="560"/>
      <c r="C181" s="560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60" t="s">
        <v>94</v>
      </c>
      <c r="B200" s="560"/>
      <c r="C200" s="560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60" t="s">
        <v>1033</v>
      </c>
      <c r="B201" s="560"/>
      <c r="C201" s="560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60" t="s">
        <v>94</v>
      </c>
      <c r="B214" s="560"/>
      <c r="C214" s="560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64" t="s">
        <v>1042</v>
      </c>
      <c r="B215" s="564"/>
      <c r="C215" s="564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65" t="s">
        <v>1043</v>
      </c>
      <c r="B216" s="565"/>
      <c r="C216" s="565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65" t="s">
        <v>1044</v>
      </c>
      <c r="B217" s="565"/>
      <c r="C217" s="565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65" t="s">
        <v>1045</v>
      </c>
      <c r="B218" s="565"/>
      <c r="C218" s="565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65" t="s">
        <v>1046</v>
      </c>
      <c r="B219" s="565"/>
      <c r="C219" s="565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66" t="s">
        <v>1047</v>
      </c>
      <c r="B220" s="566"/>
      <c r="C220" s="566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60" t="s">
        <v>94</v>
      </c>
      <c r="B221" s="560"/>
      <c r="C221" s="560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61" t="s">
        <v>1048</v>
      </c>
      <c r="B222" s="562"/>
      <c r="C222" s="563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2016-07-04T08:21:40Z</dcterms:modified>
</cp:coreProperties>
</file>